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xml" ContentType="application/vnd.openxmlformats-officedocument.spreadsheetml.pivotTable+xml"/>
  <Override PartName="/xl/tables/table5.xml" ContentType="application/vnd.openxmlformats-officedocument.spreadsheetml.table+xml"/>
  <Override PartName="/xl/comments1.xml" ContentType="application/vnd.openxmlformats-officedocument.spreadsheetml.comments+xml"/>
  <Override PartName="/xl/pivotTables/pivotTable3.xml" ContentType="application/vnd.openxmlformats-officedocument.spreadsheetml.pivotTable+xml"/>
  <Override PartName="/xl/tables/table6.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bbisamaza\Documents\Desktop\Multiyear Commitments\"/>
    </mc:Choice>
  </mc:AlternateContent>
  <bookViews>
    <workbookView xWindow="-105" yWindow="-105" windowWidth="19425" windowHeight="10425" firstSheet="8" activeTab="11"/>
  </bookViews>
  <sheets>
    <sheet name="MTEF 21-22" sheetId="15" state="hidden" r:id="rId1"/>
    <sheet name="MTEF 22-23" sheetId="16" state="hidden" r:id="rId2"/>
    <sheet name="Read Me " sheetId="28" r:id="rId3"/>
    <sheet name="MTEF Ceilings" sheetId="20" r:id="rId4"/>
    <sheet name="Aggregated Data - Connected" sheetId="4" state="hidden" r:id="rId5"/>
    <sheet name="MTEF Program" sheetId="25" r:id="rId6"/>
    <sheet name="Program Codes" sheetId="27" state="hidden" r:id="rId7"/>
    <sheet name="Aggregated Commitment Data" sheetId="9" r:id="rId8"/>
    <sheet name="Charts" sheetId="17" r:id="rId9"/>
    <sheet name="Table 3" sheetId="26" state="hidden" r:id="rId10"/>
    <sheet name="NEW TABLE" sheetId="29" r:id="rId11"/>
    <sheet name="Annex 2 Master List of Projects" sheetId="7" r:id="rId12"/>
    <sheet name="Annex 1 - Commitments" sheetId="14" r:id="rId13"/>
    <sheet name="Annex 3 New and Retooling" sheetId="21" r:id="rId14"/>
    <sheet name="Analysis - Votes" sheetId="23" r:id="rId15"/>
    <sheet name="Analysis - Variances" sheetId="22" r:id="rId16"/>
    <sheet name="Analysis - Projects" sheetId="11" r:id="rId17"/>
    <sheet name="Analysis - Votes 2" sheetId="12"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____raw99">#REF!</definedName>
    <definedName name="_____raw99">#REF!</definedName>
    <definedName name="____raw99">#REF!</definedName>
    <definedName name="___raw99">#REF!</definedName>
    <definedName name="__123Graph_C" localSheetId="15" hidden="1">[1]SEI!#REF!</definedName>
    <definedName name="__123Graph_C" localSheetId="14" hidden="1">[1]SEI!#REF!</definedName>
    <definedName name="__123Graph_C" localSheetId="11" hidden="1">[1]SEI!#REF!</definedName>
    <definedName name="__123Graph_C" localSheetId="13" hidden="1">[1]SEI!#REF!</definedName>
    <definedName name="__123Graph_C" localSheetId="3" hidden="1">[1]SEI!#REF!</definedName>
    <definedName name="__123Graph_C" hidden="1">[1]SEI!#REF!</definedName>
    <definedName name="__123Graph_D" localSheetId="15" hidden="1">[1]SEI!#REF!</definedName>
    <definedName name="__123Graph_D" localSheetId="14" hidden="1">[1]SEI!#REF!</definedName>
    <definedName name="__123Graph_D" localSheetId="11" hidden="1">[1]SEI!#REF!</definedName>
    <definedName name="__123Graph_D" localSheetId="13" hidden="1">[1]SEI!#REF!</definedName>
    <definedName name="__123Graph_D" localSheetId="3" hidden="1">[1]SEI!#REF!</definedName>
    <definedName name="__123Graph_D" hidden="1">[1]SEI!#REF!</definedName>
    <definedName name="__123Graph_E" localSheetId="11" hidden="1">[1]SEI!#REF!</definedName>
    <definedName name="__123Graph_E" localSheetId="13" hidden="1">[1]SEI!#REF!</definedName>
    <definedName name="__123Graph_E" hidden="1">[1]SEI!#REF!</definedName>
    <definedName name="__123Graph_F" localSheetId="11" hidden="1">[1]SEI!#REF!</definedName>
    <definedName name="__123Graph_F" localSheetId="13" hidden="1">[1]SEI!#REF!</definedName>
    <definedName name="__123Graph_F" hidden="1">[1]SEI!#REF!</definedName>
    <definedName name="__raw99">#REF!</definedName>
    <definedName name="__TAB1">#REF!</definedName>
    <definedName name="__TAB2">#REF!</definedName>
    <definedName name="__TAB3">#REF!</definedName>
    <definedName name="__TAB4">#REF!</definedName>
    <definedName name="__TAB5">#REF!</definedName>
    <definedName name="__TAB6">#REF!</definedName>
    <definedName name="_1">#REF!</definedName>
    <definedName name="_Fill" localSheetId="15" hidden="1">#REF!</definedName>
    <definedName name="_Fill" localSheetId="14" hidden="1">#REF!</definedName>
    <definedName name="_Fill" localSheetId="11" hidden="1">#REF!</definedName>
    <definedName name="_Fill" localSheetId="13" hidden="1">#REF!</definedName>
    <definedName name="_Fill" localSheetId="3" hidden="1">#REF!</definedName>
    <definedName name="_Fill" hidden="1">#REF!</definedName>
    <definedName name="_Fill1" localSheetId="15" hidden="1">#REF!</definedName>
    <definedName name="_Fill1" localSheetId="14" hidden="1">#REF!</definedName>
    <definedName name="_Fill1" localSheetId="11" hidden="1">#REF!</definedName>
    <definedName name="_Fill1" localSheetId="13" hidden="1">#REF!</definedName>
    <definedName name="_Fill1" localSheetId="3" hidden="1">#REF!</definedName>
    <definedName name="_Fill1" hidden="1">#REF!</definedName>
    <definedName name="_xlnm._FilterDatabase" localSheetId="11" hidden="1">'Annex 2 Master List of Projects'!$A$3:$AD$372</definedName>
    <definedName name="_xlnm._FilterDatabase" localSheetId="13" hidden="1">'Annex 3 New and Retooling'!$A$3:$AC$372</definedName>
    <definedName name="_Key1" localSheetId="15" hidden="1">#REF!</definedName>
    <definedName name="_Key1" localSheetId="14" hidden="1">#REF!</definedName>
    <definedName name="_Key1" localSheetId="11" hidden="1">#REF!</definedName>
    <definedName name="_Key1" localSheetId="13" hidden="1">#REF!</definedName>
    <definedName name="_Key1" localSheetId="3" hidden="1">#REF!</definedName>
    <definedName name="_Key1" hidden="1">#REF!</definedName>
    <definedName name="_Order1" hidden="1">255</definedName>
    <definedName name="_Order2" hidden="1">255</definedName>
    <definedName name="_Parse_Out" localSheetId="15" hidden="1">#REF!</definedName>
    <definedName name="_Parse_Out" localSheetId="14" hidden="1">#REF!</definedName>
    <definedName name="_Parse_Out" localSheetId="11" hidden="1">#REF!</definedName>
    <definedName name="_Parse_Out" localSheetId="13" hidden="1">#REF!</definedName>
    <definedName name="_Parse_Out" localSheetId="3" hidden="1">#REF!</definedName>
    <definedName name="_Parse_Out" hidden="1">#REF!</definedName>
    <definedName name="_raw99">#REF!</definedName>
    <definedName name="_Regression_Int" hidden="1">1</definedName>
    <definedName name="_Regression_Out" localSheetId="15" hidden="1">#REF!</definedName>
    <definedName name="_Regression_Out" localSheetId="14" hidden="1">#REF!</definedName>
    <definedName name="_Regression_Out" localSheetId="11" hidden="1">#REF!</definedName>
    <definedName name="_Regression_Out" localSheetId="13" hidden="1">#REF!</definedName>
    <definedName name="_Regression_Out" localSheetId="3" hidden="1">#REF!</definedName>
    <definedName name="_Regression_Out" hidden="1">#REF!</definedName>
    <definedName name="_Regression_X" localSheetId="15" hidden="1">#REF!</definedName>
    <definedName name="_Regression_X" localSheetId="14" hidden="1">#REF!</definedName>
    <definedName name="_Regression_X" localSheetId="11" hidden="1">#REF!</definedName>
    <definedName name="_Regression_X" localSheetId="13" hidden="1">#REF!</definedName>
    <definedName name="_Regression_X" localSheetId="3" hidden="1">#REF!</definedName>
    <definedName name="_Regression_X" hidden="1">#REF!</definedName>
    <definedName name="_Regression_Y" localSheetId="15" hidden="1">#REF!</definedName>
    <definedName name="_Regression_Y" localSheetId="14" hidden="1">#REF!</definedName>
    <definedName name="_Regression_Y" localSheetId="11" hidden="1">#REF!</definedName>
    <definedName name="_Regression_Y" localSheetId="13" hidden="1">#REF!</definedName>
    <definedName name="_Regression_Y" localSheetId="3" hidden="1">#REF!</definedName>
    <definedName name="_Regression_Y" hidden="1">#REF!</definedName>
    <definedName name="_Sort" localSheetId="15" hidden="1">#REF!</definedName>
    <definedName name="_Sort" localSheetId="14" hidden="1">#REF!</definedName>
    <definedName name="_Sort" localSheetId="11" hidden="1">#REF!</definedName>
    <definedName name="_Sort" localSheetId="13" hidden="1">#REF!</definedName>
    <definedName name="_Sort" localSheetId="3" hidden="1">#REF!</definedName>
    <definedName name="_Sort" hidden="1">#REF!</definedName>
    <definedName name="_TAB1">#REF!</definedName>
    <definedName name="_TAB2">#REF!</definedName>
    <definedName name="_TAB3">#REF!</definedName>
    <definedName name="_TAB4">#REF!</definedName>
    <definedName name="_TAB5">#REF!</definedName>
    <definedName name="_TAB6">#REF!</definedName>
    <definedName name="_xlcn.WorksheetConnection_MasterMYC2021.xlsxAggregate1" hidden="1">Aggregate[]</definedName>
    <definedName name="_xlcn.WorksheetConnection_MasterMYC2021.xlsxMasteTable1" hidden="1">MasterTable[]</definedName>
    <definedName name="_xlcn.WorksheetConnection_MasterMYC2021.xlsxPAProjects1" hidden="1">PAProjects[]</definedName>
    <definedName name="a">[2]Changes!$A$6</definedName>
    <definedName name="AA" localSheetId="15" hidden="1">{"Main Economic Indicators",#N/A,FALSE,"C"}</definedName>
    <definedName name="AA" localSheetId="14" hidden="1">{"Main Economic Indicators",#N/A,FALSE,"C"}</definedName>
    <definedName name="AA" localSheetId="11" hidden="1">{"Main Economic Indicators",#N/A,FALSE,"C"}</definedName>
    <definedName name="AA" localSheetId="13" hidden="1">{"Main Economic Indicators",#N/A,FALSE,"C"}</definedName>
    <definedName name="AA" localSheetId="3" hidden="1">{"Main Economic Indicators",#N/A,FALSE,"C"}</definedName>
    <definedName name="AA" hidden="1">{"Main Economic Indicators",#N/A,FALSE,"C"}</definedName>
    <definedName name="additional">'[3]Projected &amp; Requested'!$H:$H</definedName>
    <definedName name="Agric_Ext_321466">'[3]wage_16''17'!$R:$R</definedName>
    <definedName name="Balance">'[3]wage_16''17'!$CB:$CB</definedName>
    <definedName name="BFP">#REF!</definedName>
    <definedName name="broad_m">OFFSET(#REF!,0,MATCH(#REF!,years)-1,1,MATCH(#REF!,years)-MATCH(#REF!,years)+1)</definedName>
    <definedName name="bud_est">#REF!</definedName>
    <definedName name="Budget">[4]Sheet1!$C:$C</definedName>
    <definedName name="budget1">#REF!</definedName>
    <definedName name="c_1">#REF!</definedName>
    <definedName name="c_2">#REF!</definedName>
    <definedName name="c_3">#REF!</definedName>
    <definedName name="cab">OFFSET(#REF!,0,MATCH(#REF!,years)-1,1,MATCH(#REF!,years)-MATCH(#REF!,years)+1)</definedName>
    <definedName name="capital_transfers">OFFSET(#REF!,0,MATCH(#REF!,years)-1,1,MATCH(#REF!,years)-MATCH(#REF!,years)+1)</definedName>
    <definedName name="CASH">#REF!</definedName>
    <definedName name="cashflow">OFFSET(#REF!,0,MATCH(#REF!,years)-1,1,MATCH(#REF!,years)-MATCH(#REF!,years)+1)</definedName>
    <definedName name="category">[5]Input!$E$3:$E$224</definedName>
    <definedName name="cb">OFFSET(#REF!,0,MATCH(#REF!,years)-1,1,MATCH(#REF!,years)-MATCH(#REF!,years)+1)</definedName>
    <definedName name="cbr">OFFSET(#REF!,0,MATCH(#REF!,years)-1,1,MATCH(#REF!,years)-MATCH(#REF!,years)+1)</definedName>
    <definedName name="cgc">OFFSET(#REF!,0,MATCH(#REF!,years)-1,1,MATCH(#REF!,years)-MATCH(#REF!,years)+1)</definedName>
    <definedName name="CHANGESWRITE">#REF!</definedName>
    <definedName name="consumption">OFFSET(#REF!,0,MATCH(#REF!,years)-1,1,MATCH(#REF!,years)-MATCH(#REF!,years)+1)</definedName>
    <definedName name="Contract_211102">'[3]wage_16''17'!$I:$I</definedName>
    <definedName name="core">OFFSET(#REF!,0,MATCH(#REF!,years)-1,1,MATCH(#REF!,years)-MATCH(#REF!,years)+1)</definedName>
    <definedName name="debt_dom">OFFSET(#REF!,0,MATCH(#REF!,years)-1,1,MATCH(#REF!,years)-MATCH(#REF!,years)+1)</definedName>
    <definedName name="debt_ext">OFFSET(#REF!,0,MATCH(#REF!,years)-1,1,MATCH(#REF!,years)-MATCH(#REF!,years)+1)</definedName>
    <definedName name="dev">#REF!</definedName>
    <definedName name="Development">#REF!</definedName>
    <definedName name="District_Wage_321451">'[3]wage_16''17'!$L:$L</definedName>
    <definedName name="donor">OFFSET(#REF!,0,MATCH(#REF!,years)-1,1,MATCH(#REF!,years)-MATCH(#REF!,years)+1)</definedName>
    <definedName name="DSC">#REF!</definedName>
    <definedName name="DUW">#REF!</definedName>
    <definedName name="Educ_Wage_321466">'[3]wage_16''17'!$T:$T</definedName>
    <definedName name="efu">OFFSET(#REF!,0,MATCH(#REF!,years)-1,1,MATCH(#REF!,years)-MATCH(#REF!,years)+1)</definedName>
    <definedName name="ergferger" localSheetId="15" hidden="1">{"Main Economic Indicators",#N/A,FALSE,"C"}</definedName>
    <definedName name="ergferger" localSheetId="14" hidden="1">{"Main Economic Indicators",#N/A,FALSE,"C"}</definedName>
    <definedName name="ergferger" localSheetId="11" hidden="1">{"Main Economic Indicators",#N/A,FALSE,"C"}</definedName>
    <definedName name="ergferger" localSheetId="13" hidden="1">{"Main Economic Indicators",#N/A,FALSE,"C"}</definedName>
    <definedName name="ergferger" localSheetId="3" hidden="1">{"Main Economic Indicators",#N/A,FALSE,"C"}</definedName>
    <definedName name="ergferger" hidden="1">{"Main Economic Indicators",#N/A,FALSE,"C"}</definedName>
    <definedName name="errors">OFFSET(#REF!,0,MATCH(#REF!,years)-1,1,MATCH(#REF!,years)-MATCH(#REF!,years)+1)</definedName>
    <definedName name="excises">OFFSET(#REF!,0,MATCH(#REF!,years)-1,1,MATCH(#REF!,years)-MATCH(#REF!,years)+1)</definedName>
    <definedName name="exports">OFFSET(#REF!,0,MATCH(#REF!,years)-1,1,MATCH(#REF!,years)-MATCH(#REF!,years)+1)</definedName>
    <definedName name="exports_gdp">OFFSET(#REF!,0,MATCH(#REF!,years)-1,1,MATCH(#REF!,years)-MATCH(#REF!,years)+1)</definedName>
    <definedName name="external_debt">OFFSET(#REF!,0,MATCH(#REF!,years)-1,1,MATCH(#REF!,years)-MATCH(#REF!,years)+1)</definedName>
    <definedName name="ExternalData_1" localSheetId="4" hidden="1">'Aggregated Data - Connected'!$A$1:$Y$216</definedName>
    <definedName name="fdi">OFFSET(#REF!,0,MATCH(#REF!,years)-1,1,MATCH(#REF!,years)-MATCH(#REF!,years)+1)</definedName>
    <definedName name="financial_account">OFFSET(#REF!,0,MATCH(#REF!,years)-1,1,MATCH(#REF!,years)-MATCH(#REF!,years)+1)</definedName>
    <definedName name="fiscaldeficit">OFFSET(#REF!,0,MATCH(#REF!,years)-1,1,MATCH(#REF!,years)-MATCH(#REF!,years)+1)</definedName>
    <definedName name="food">OFFSET(#REF!,0,MATCH(#REF!,years)-1,1,MATCH(#REF!,years)-MATCH(#REF!,years)+1)</definedName>
    <definedName name="ft">#REF!</definedName>
    <definedName name="FundingSource" localSheetId="15">[6]!Table5[Funding Source]</definedName>
    <definedName name="FundingSource" localSheetId="14">[6]!Table5[Funding Source]</definedName>
    <definedName name="FundingSource" localSheetId="12">[7]!Table5[Funding Source]</definedName>
    <definedName name="FundingSource">[7]!Table5[Funding Source]</definedName>
    <definedName name="General_211101">'[3]wage_16''17'!$H:$H</definedName>
    <definedName name="gou_dev">OFFSET(#REF!,0,MATCH(#REF!,years)-1,1,MATCH(#REF!,years)-MATCH(#REF!,years)+1)</definedName>
    <definedName name="Grant">[5]Input!$D$3:$D$224</definedName>
    <definedName name="growth">OFFSET(#REF!,0,MATCH(#REF!,years)-1,1,MATCH(#REF!,years)-MATCH(#REF!,years)+1)</definedName>
    <definedName name="headline">OFFSET(#REF!,0,MATCH(#REF!,years)-1,1,MATCH(#REF!,years)-MATCH(#REF!,years)+1)</definedName>
    <definedName name="import">[5]Input!$CO$3:$CO$224</definedName>
    <definedName name="import_duty">OFFSET(#REF!,0,MATCH(#REF!,years)-1,1,MATCH(#REF!,years)-MATCH(#REF!,years)+1)</definedName>
    <definedName name="imports">OFFSET(#REF!,0,MATCH(#REF!,years)-1,1,MATCH(#REF!,years)-MATCH(#REF!,years)+1)</definedName>
    <definedName name="imports_gdp">OFFSET(#REF!,0,MATCH(#REF!,years)-1,1,MATCH(#REF!,years)-MATCH(#REF!,years)+1)</definedName>
    <definedName name="impulse">OFFSET(#REF!,0,MATCH(#REF!,years)-1,1,MATCH(#REF!,years)-MATCH(#REF!,years)+1)</definedName>
    <definedName name="interest">OFFSET(#REF!,0,MATCH(#REF!,years)-1,1,MATCH(#REF!,years)-MATCH(#REF!,years)+1)</definedName>
    <definedName name="investment">OFFSET(#REF!,0,MATCH(#REF!,years)-1,1,MATCH(#REF!,years)-MATCH(#REF!,years)+1)</definedName>
    <definedName name="investment_gdp">OFFSET(#REF!,0,MATCH(#REF!,years)-1,1,MATCH(#REF!,years)-MATCH(#REF!,years)+1)</definedName>
    <definedName name="investmentincome">OFFSET(#REF!,0,MATCH(#REF!,years)-1,1,MATCH(#REF!,years)-MATCH(#REF!,years)+1)</definedName>
    <definedName name="ipf">'[3]Projected &amp; Requested'!$F:$F</definedName>
    <definedName name="ipp">OFFSET(#REF!,0,MATCH(#REF!,years)-1,1,MATCH(#REF!,years)-MATCH(#REF!,years)+1)</definedName>
    <definedName name="karuma">OFFSET(#REF!,0,MATCH(#REF!,years)-1,1,MATCH(#REF!,years)-MATCH(#REF!,years)+1)</definedName>
    <definedName name="lr">OFFSET(#REF!,0,MATCH(#REF!,years)-1,1,MATCH(#REF!,years)-MATCH(#REF!,years)+1)</definedName>
    <definedName name="marcus">#REF!</definedName>
    <definedName name="MDF_Funds_Print__Area">#REF!</definedName>
    <definedName name="Missions_211105">'[3]wage_16''17'!$K:$K</definedName>
    <definedName name="Monthly_Payments_Print_Area">#REF!</definedName>
    <definedName name="mtef">#REF!</definedName>
    <definedName name="ncb">OFFSET(#REF!,0,MATCH(#REF!,years)-1,1,MATCH(#REF!,years)-MATCH(#REF!,years)+1)</definedName>
    <definedName name="ndf">OFFSET(#REF!,0,MATCH(#REF!,years)-1,1,MATCH(#REF!,years)-MATCH(#REF!,years)+1)</definedName>
    <definedName name="ner">OFFSET(#REF!,0,MATCH(#REF!,years)-1,1,MATCH(#REF!,years)-MATCH(#REF!,years)+1)</definedName>
    <definedName name="nfa">OFFSET(#REF!,0,MATCH(#REF!,years)-1,1,MATCH(#REF!,years)-MATCH(#REF!,years)+1)</definedName>
    <definedName name="nnn" localSheetId="15" hidden="1">{"Main Economic Indicators",#N/A,FALSE,"C"}</definedName>
    <definedName name="nnn" localSheetId="14" hidden="1">{"Main Economic Indicators",#N/A,FALSE,"C"}</definedName>
    <definedName name="nnn" localSheetId="11" hidden="1">{"Main Economic Indicators",#N/A,FALSE,"C"}</definedName>
    <definedName name="nnn" localSheetId="13" hidden="1">{"Main Economic Indicators",#N/A,FALSE,"C"}</definedName>
    <definedName name="nnn" localSheetId="3" hidden="1">{"Main Economic Indicators",#N/A,FALSE,"C"}</definedName>
    <definedName name="nnn" hidden="1">{"Main Economic Indicators",#N/A,FALSE,"C"}</definedName>
    <definedName name="non_conc">OFFSET(#REF!,0,MATCH(#REF!,years)-1,1,MATCH(#REF!,years)-MATCH(#REF!,years)+1)</definedName>
    <definedName name="oin">OFFSET(#REF!,0,MATCH(#REF!,years)-1,1,MATCH(#REF!,years)-MATCH(#REF!,years)+1)</definedName>
    <definedName name="other_current">OFFSET(#REF!,0,MATCH(#REF!,years)-1,1,MATCH(#REF!,years)-MATCH(#REF!,years)+1)</definedName>
    <definedName name="other_investment">OFFSET(#REF!,0,MATCH(#REF!,years)-1,1,MATCH(#REF!,years)-MATCH(#REF!,years)+1)</definedName>
    <definedName name="other_revenue">OFFSET(#REF!,0,MATCH(#REF!,years)-1,1,MATCH(#REF!,years)-MATCH(#REF!,years)+1)</definedName>
    <definedName name="outputgap">OFFSET(#REF!,0,MATCH(#REF!,years)-1,1,MATCH(#REF!,years)-MATCH(#REF!,years)+1)</definedName>
    <definedName name="P" localSheetId="15" hidden="1">#REF!,#REF!,#REF!</definedName>
    <definedName name="P" localSheetId="14" hidden="1">#REF!,#REF!,#REF!</definedName>
    <definedName name="P" localSheetId="11" hidden="1">#REF!,#REF!,#REF!</definedName>
    <definedName name="P" localSheetId="13" hidden="1">#REF!,#REF!,#REF!</definedName>
    <definedName name="P" localSheetId="3" hidden="1">#REF!,#REF!,#REF!</definedName>
    <definedName name="P" hidden="1">#REF!,#REF!,#REF!</definedName>
    <definedName name="PHC_321466">'[3]wage_16''17'!$S:$S</definedName>
    <definedName name="Political">#REF!</definedName>
    <definedName name="portfolio">OFFSET(#REF!,0,MATCH(#REF!,years)-1,1,MATCH(#REF!,years)-MATCH(#REF!,years)+1)</definedName>
    <definedName name="Pr" localSheetId="15" hidden="1">#REF!,#REF!,#REF!</definedName>
    <definedName name="Pr" localSheetId="14" hidden="1">#REF!,#REF!,#REF!</definedName>
    <definedName name="Pr" localSheetId="11" hidden="1">#REF!,#REF!,#REF!</definedName>
    <definedName name="Pr" localSheetId="13" hidden="1">#REF!,#REF!,#REF!</definedName>
    <definedName name="Pr" localSheetId="3" hidden="1">#REF!,#REF!,#REF!</definedName>
    <definedName name="Pr" hidden="1">#REF!,#REF!,#REF!</definedName>
    <definedName name="primary_wage">'[3]wage_16''17'!$U:$U</definedName>
    <definedName name="print00">#REF!</definedName>
    <definedName name="print000">#REF!</definedName>
    <definedName name="print01">#REF!</definedName>
    <definedName name="print95">#REF!</definedName>
    <definedName name="print96">#REF!</definedName>
    <definedName name="print97">#REF!</definedName>
    <definedName name="print98">#REF!</definedName>
    <definedName name="print98o">#REF!</definedName>
    <definedName name="print99">#REF!</definedName>
    <definedName name="pro" localSheetId="15" hidden="1">#REF!</definedName>
    <definedName name="pro" localSheetId="14" hidden="1">#REF!</definedName>
    <definedName name="pro" localSheetId="11" hidden="1">#REF!</definedName>
    <definedName name="pro" localSheetId="13" hidden="1">#REF!</definedName>
    <definedName name="pro" localSheetId="3" hidden="1">#REF!</definedName>
    <definedName name="pro" hidden="1">#REF!</definedName>
    <definedName name="proj">#REF!</definedName>
    <definedName name="ProjectClass" localSheetId="15">[6]!Table4[Project classification]</definedName>
    <definedName name="ProjectClass" localSheetId="14">[6]!Table4[Project classification]</definedName>
    <definedName name="ProjectClass" localSheetId="12">[7]!Table4[Project classification]</definedName>
    <definedName name="ProjectClass">[7]!Table4[Project classification]</definedName>
    <definedName name="Projects" localSheetId="15" hidden="1">#REF!,#REF!,#REF!</definedName>
    <definedName name="Projects" localSheetId="14" hidden="1">#REF!,#REF!,#REF!</definedName>
    <definedName name="Projects" localSheetId="11" hidden="1">#REF!,#REF!,#REF!</definedName>
    <definedName name="Projects" localSheetId="13" hidden="1">#REF!,#REF!,#REF!</definedName>
    <definedName name="Projects" localSheetId="3" hidden="1">#REF!,#REF!,#REF!</definedName>
    <definedName name="Projects" hidden="1">#REF!,#REF!,#REF!</definedName>
    <definedName name="ProjectStatus" localSheetId="15">[6]!Table3[Status]</definedName>
    <definedName name="ProjectStatus" localSheetId="14">[6]!Table3[Status]</definedName>
    <definedName name="ProjectStatus" localSheetId="12">[7]!Table3[Status]</definedName>
    <definedName name="ProjectStatus">[7]!Table3[Status]</definedName>
    <definedName name="psc">OFFSET(#REF!,0,MATCH(#REF!,years)-1,1,MATCH(#REF!,years)-MATCH(#REF!,years)+1)</definedName>
    <definedName name="psc_shs">OFFSET(#REF!,0,MATCH(#REF!,years)-1,1,MATCH(#REF!,years)-MATCH(#REF!,years)+1)</definedName>
    <definedName name="psc_usd">OFFSET(#REF!,0,MATCH(#REF!,years)-1,1,MATCH(#REF!,years)-MATCH(#REF!,years)+1)</definedName>
    <definedName name="psc_wa">OFFSET(#REF!,0,MATCH(#REF!,years)-1,1,MATCH(#REF!,years)-MATCH(#REF!,years)+1)</definedName>
    <definedName name="pto_supp" localSheetId="15" hidden="1">#REF!</definedName>
    <definedName name="pto_supp" localSheetId="14" hidden="1">#REF!</definedName>
    <definedName name="pto_supp" localSheetId="11" hidden="1">#REF!</definedName>
    <definedName name="pto_supp" localSheetId="13" hidden="1">#REF!</definedName>
    <definedName name="pto_supp" localSheetId="3" hidden="1">#REF!</definedName>
    <definedName name="pto_supp" hidden="1">#REF!</definedName>
    <definedName name="q1_percent">'[3]wage_16''17'!$X$3</definedName>
    <definedName name="q2_percent">'[3]wage_16''17'!$AK$3</definedName>
    <definedName name="q3_percent">'[3]wage_16''17'!$AX$3</definedName>
    <definedName name="q4_percent">'[3]wage_16''17'!$BK$3</definedName>
    <definedName name="QA">'[3]wage_16''17'!$AX:$AX</definedName>
    <definedName name="Qtr_1">'[3]wage_16''17'!$X:$X</definedName>
    <definedName name="Qtr_2">'[3]wage_16''17'!$AK:$AK</definedName>
    <definedName name="Qtr_3">'[3]wage_16''17'!$AX:$AX</definedName>
    <definedName name="Qtr_4">'[3]wage_16''17'!$BK:$BK</definedName>
    <definedName name="Rec">#REF!</definedName>
    <definedName name="rer">OFFSET(#REF!,0,MATCH(#REF!,years)-1,1,MATCH(#REF!,years)-MATCH(#REF!,years)+1)</definedName>
    <definedName name="rergap">OFFSET(#REF!,0,MATCH(#REF!,years)-1,1,MATCH(#REF!,years)-MATCH(#REF!,years)+1)</definedName>
    <definedName name="reserves_gdp">OFFSET(#REF!,0,MATCH(#REF!,years)-1,1,MATCH(#REF!,years)-MATCH(#REF!,years)+1)</definedName>
    <definedName name="reserves_imports">OFFSET(#REF!,0,MATCH(#REF!,years)-1,1,MATCH(#REF!,years)-MATCH(#REF!,years)+1)</definedName>
    <definedName name="reserves_imports2">OFFSET(#REF!,0,MATCH(#REF!,years)-1,1,MATCH(#REF!,years)-MATCH(#REF!,years)+1)</definedName>
    <definedName name="reserves_m3">OFFSET(#REF!,0,MATCH(#REF!,years)-1,1,MATCH(#REF!,years)-MATCH(#REF!,years)+1)</definedName>
    <definedName name="rtre" localSheetId="15" hidden="1">{"Main Economic Indicators",#N/A,FALSE,"C"}</definedName>
    <definedName name="rtre" localSheetId="14" hidden="1">{"Main Economic Indicators",#N/A,FALSE,"C"}</definedName>
    <definedName name="rtre" localSheetId="11" hidden="1">{"Main Economic Indicators",#N/A,FALSE,"C"}</definedName>
    <definedName name="rtre" localSheetId="13" hidden="1">{"Main Economic Indicators",#N/A,FALSE,"C"}</definedName>
    <definedName name="rtre" localSheetId="3" hidden="1">{"Main Economic Indicators",#N/A,FALSE,"C"}</definedName>
    <definedName name="rtre" hidden="1">{"Main Economic Indicators",#N/A,FALSE,"C"}</definedName>
    <definedName name="Rwvu.Print." hidden="1">#N/A</definedName>
    <definedName name="savings_gdp">OFFSET(#REF!,0,MATCH(#REF!,years)-1,1,MATCH(#REF!,years)-MATCH(#REF!,years)+1)</definedName>
    <definedName name="secondary_wage">'[3]wage_16''17'!$V:$V</definedName>
    <definedName name="si_balance">OFFSET(#REF!,0,MATCH(#REF!,years)-1,1,MATCH(#REF!,years)-MATCH(#REF!,years)+1)</definedName>
    <definedName name="spending">[5]Input!$B$3:$B$224</definedName>
    <definedName name="Statutory_211104">'[3]wage_16''17'!$J:$J</definedName>
    <definedName name="TABCASH">#REF!</definedName>
    <definedName name="TABEXCEPTFIN">#REF!</definedName>
    <definedName name="TABEXTERNAL">#REF!</definedName>
    <definedName name="TABMEMO">#REF!</definedName>
    <definedName name="tbill_rate">OFFSET(#REF!,0,MATCH(#REF!,years)-1,1,MATCH(#REF!,years)-MATCH(#REF!,years)+1)</definedName>
    <definedName name="tertiary_wage">'[3]wage_16''17'!$W:$W</definedName>
    <definedName name="Titus">#REF!</definedName>
    <definedName name="transfers">OFFSET(#REF!,0,MATCH(#REF!,years)-1,1,MATCH(#REF!,years)-MATCH(#REF!,years)+1)</definedName>
    <definedName name="TRANSFERTEST">[1]Gin:Din!$C$2:$O$2</definedName>
    <definedName name="u">#REF!</definedName>
    <definedName name="Urban_Wage_321450">'[3]wage_16''17'!$M:$M</definedName>
    <definedName name="UUW">#REF!</definedName>
    <definedName name="vat">OFFSET(#REF!,0,MATCH(#REF!,years)-1,1,MATCH(#REF!,years)-MATCH(#REF!,years)+1)</definedName>
    <definedName name="verified">[4]Sheet1!$D:$D</definedName>
    <definedName name="vote">#REF!</definedName>
    <definedName name="wages">OFFSET(#REF!,0,MATCH(#REF!,years)-1,1,MATCH(#REF!,years)-MATCH(#REF!,years)+1)</definedName>
    <definedName name="wrn.Main._.Economic._.Indicators." localSheetId="15" hidden="1">{"Main Economic Indicators",#N/A,FALSE,"C"}</definedName>
    <definedName name="wrn.Main._.Economic._.Indicators." localSheetId="14" hidden="1">{"Main Economic Indicators",#N/A,FALSE,"C"}</definedName>
    <definedName name="wrn.Main._.Economic._.Indicators." localSheetId="11" hidden="1">{"Main Economic Indicators",#N/A,FALSE,"C"}</definedName>
    <definedName name="wrn.Main._.Economic._.Indicators." localSheetId="13" hidden="1">{"Main Economic Indicators",#N/A,FALSE,"C"}</definedName>
    <definedName name="wrn.Main._.Economic._.Indicators." localSheetId="3" hidden="1">{"Main Economic Indicators",#N/A,FALSE,"C"}</definedName>
    <definedName name="wrn.Main._.Economic._.Indicators." hidden="1">{"Main Economic Indicators",#N/A,FALSE,"C"}</definedName>
    <definedName name="wrn.STAFF_REPORT_TABLES." localSheetId="15" hidden="1">{"SR_tbs",#N/A,FALSE,"MGSSEI";"SR_tbs",#N/A,FALSE,"MGSBOX";"SR_tbs",#N/A,FALSE,"MGSOCIND"}</definedName>
    <definedName name="wrn.STAFF_REPORT_TABLES." localSheetId="14" hidden="1">{"SR_tbs",#N/A,FALSE,"MGSSEI";"SR_tbs",#N/A,FALSE,"MGSBOX";"SR_tbs",#N/A,FALSE,"MGSOCIND"}</definedName>
    <definedName name="wrn.STAFF_REPORT_TABLES." localSheetId="11" hidden="1">{"SR_tbs",#N/A,FALSE,"MGSSEI";"SR_tbs",#N/A,FALSE,"MGSBOX";"SR_tbs",#N/A,FALSE,"MGSOCIND"}</definedName>
    <definedName name="wrn.STAFF_REPORT_TABLES." localSheetId="13" hidden="1">{"SR_tbs",#N/A,FALSE,"MGSSEI";"SR_tbs",#N/A,FALSE,"MGSBOX";"SR_tbs",#N/A,FALSE,"MGSOCIND"}</definedName>
    <definedName name="wrn.STAFF_REPORT_TABLES." localSheetId="3" hidden="1">{"SR_tbs",#N/A,FALSE,"MGSSEI";"SR_tbs",#N/A,FALSE,"MGSBOX";"SR_tbs",#N/A,FALSE,"MGSOCIND"}</definedName>
    <definedName name="wrn.STAFF_REPORT_TABLES." hidden="1">{"SR_tbs",#N/A,FALSE,"MGSSEI";"SR_tbs",#N/A,FALSE,"MGSBOX";"SR_tbs",#N/A,FALSE,"MGSOCIND"}</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15" hidden="1">{"Main Economic Indicators",#N/A,FALSE,"C"}</definedName>
    <definedName name="WW" localSheetId="14" hidden="1">{"Main Economic Indicators",#N/A,FALSE,"C"}</definedName>
    <definedName name="WW" localSheetId="11" hidden="1">{"Main Economic Indicators",#N/A,FALSE,"C"}</definedName>
    <definedName name="WW" localSheetId="13" hidden="1">{"Main Economic Indicators",#N/A,FALSE,"C"}</definedName>
    <definedName name="WW" localSheetId="3" hidden="1">{"Main Economic Indicators",#N/A,FALSE,"C"}</definedName>
    <definedName name="WW" hidden="1">{"Main Economic Indicators",#N/A,FALSE,"C"}</definedName>
    <definedName name="years">[8]Assns!$C$3:$Z$3</definedName>
    <definedName name="years_subset">OFFSET([8]Assns!$C$3,0,MATCH(#REF!,years)-1,1,MATCH(#REF!,years)-MATCH(#REF!,years)+1)</definedName>
    <definedName name="YHT">#REF!</definedName>
    <definedName name="ytax">OFFSET(#REF!,0,MATCH(#REF!,years)-1,1,MATCH(#REF!,years)-MATCH(#REF!,years)+1)</definedName>
    <definedName name="Z_1A8C061B_2301_11D3_BFD1_000039E37209_.wvu.Cols" localSheetId="15" hidden="1">#REF!,#REF!,#REF!</definedName>
    <definedName name="Z_1A8C061B_2301_11D3_BFD1_000039E37209_.wvu.Cols" localSheetId="14" hidden="1">#REF!,#REF!,#REF!</definedName>
    <definedName name="Z_1A8C061B_2301_11D3_BFD1_000039E37209_.wvu.Cols" localSheetId="11" hidden="1">#REF!,#REF!,#REF!</definedName>
    <definedName name="Z_1A8C061B_2301_11D3_BFD1_000039E37209_.wvu.Cols" localSheetId="13" hidden="1">#REF!,#REF!,#REF!</definedName>
    <definedName name="Z_1A8C061B_2301_11D3_BFD1_000039E37209_.wvu.Cols" localSheetId="3" hidden="1">#REF!,#REF!,#REF!</definedName>
    <definedName name="Z_1A8C061B_2301_11D3_BFD1_000039E37209_.wvu.Cols" hidden="1">#REF!,#REF!,#REF!</definedName>
    <definedName name="Z_1A8C061B_2301_11D3_BFD1_000039E37209_.wvu.Rows" localSheetId="15" hidden="1">#REF!,#REF!,#REF!</definedName>
    <definedName name="Z_1A8C061B_2301_11D3_BFD1_000039E37209_.wvu.Rows" localSheetId="14" hidden="1">#REF!,#REF!,#REF!</definedName>
    <definedName name="Z_1A8C061B_2301_11D3_BFD1_000039E37209_.wvu.Rows" localSheetId="11" hidden="1">#REF!,#REF!,#REF!</definedName>
    <definedName name="Z_1A8C061B_2301_11D3_BFD1_000039E37209_.wvu.Rows" localSheetId="13" hidden="1">#REF!,#REF!,#REF!</definedName>
    <definedName name="Z_1A8C061B_2301_11D3_BFD1_000039E37209_.wvu.Rows" localSheetId="3" hidden="1">#REF!,#REF!,#REF!</definedName>
    <definedName name="Z_1A8C061B_2301_11D3_BFD1_000039E37209_.wvu.Rows" hidden="1">#REF!,#REF!,#REF!</definedName>
    <definedName name="Z_1A8C061C_2301_11D3_BFD1_000039E37209_.wvu.Cols" localSheetId="15" hidden="1">#REF!,#REF!,#REF!</definedName>
    <definedName name="Z_1A8C061C_2301_11D3_BFD1_000039E37209_.wvu.Cols" localSheetId="14" hidden="1">#REF!,#REF!,#REF!</definedName>
    <definedName name="Z_1A8C061C_2301_11D3_BFD1_000039E37209_.wvu.Cols" localSheetId="11" hidden="1">#REF!,#REF!,#REF!</definedName>
    <definedName name="Z_1A8C061C_2301_11D3_BFD1_000039E37209_.wvu.Cols" localSheetId="13" hidden="1">#REF!,#REF!,#REF!</definedName>
    <definedName name="Z_1A8C061C_2301_11D3_BFD1_000039E37209_.wvu.Cols" localSheetId="3" hidden="1">#REF!,#REF!,#REF!</definedName>
    <definedName name="Z_1A8C061C_2301_11D3_BFD1_000039E37209_.wvu.Cols" hidden="1">#REF!,#REF!,#REF!</definedName>
    <definedName name="Z_1A8C061C_2301_11D3_BFD1_000039E37209_.wvu.Rows" localSheetId="15" hidden="1">#REF!,#REF!,#REF!</definedName>
    <definedName name="Z_1A8C061C_2301_11D3_BFD1_000039E37209_.wvu.Rows" localSheetId="14" hidden="1">#REF!,#REF!,#REF!</definedName>
    <definedName name="Z_1A8C061C_2301_11D3_BFD1_000039E37209_.wvu.Rows" localSheetId="11" hidden="1">#REF!,#REF!,#REF!</definedName>
    <definedName name="Z_1A8C061C_2301_11D3_BFD1_000039E37209_.wvu.Rows" localSheetId="13" hidden="1">#REF!,#REF!,#REF!</definedName>
    <definedName name="Z_1A8C061C_2301_11D3_BFD1_000039E37209_.wvu.Rows" localSheetId="3" hidden="1">#REF!,#REF!,#REF!</definedName>
    <definedName name="Z_1A8C061C_2301_11D3_BFD1_000039E37209_.wvu.Rows" hidden="1">#REF!,#REF!,#REF!</definedName>
    <definedName name="Z_1A8C061E_2301_11D3_BFD1_000039E37209_.wvu.Cols" localSheetId="15" hidden="1">#REF!,#REF!,#REF!</definedName>
    <definedName name="Z_1A8C061E_2301_11D3_BFD1_000039E37209_.wvu.Cols" localSheetId="14" hidden="1">#REF!,#REF!,#REF!</definedName>
    <definedName name="Z_1A8C061E_2301_11D3_BFD1_000039E37209_.wvu.Cols" localSheetId="11" hidden="1">#REF!,#REF!,#REF!</definedName>
    <definedName name="Z_1A8C061E_2301_11D3_BFD1_000039E37209_.wvu.Cols" localSheetId="13" hidden="1">#REF!,#REF!,#REF!</definedName>
    <definedName name="Z_1A8C061E_2301_11D3_BFD1_000039E37209_.wvu.Cols" localSheetId="3" hidden="1">#REF!,#REF!,#REF!</definedName>
    <definedName name="Z_1A8C061E_2301_11D3_BFD1_000039E37209_.wvu.Cols" hidden="1">#REF!,#REF!,#REF!</definedName>
    <definedName name="Z_1A8C061E_2301_11D3_BFD1_000039E37209_.wvu.Rows" localSheetId="15" hidden="1">#REF!,#REF!,#REF!</definedName>
    <definedName name="Z_1A8C061E_2301_11D3_BFD1_000039E37209_.wvu.Rows" localSheetId="14" hidden="1">#REF!,#REF!,#REF!</definedName>
    <definedName name="Z_1A8C061E_2301_11D3_BFD1_000039E37209_.wvu.Rows" localSheetId="11" hidden="1">#REF!,#REF!,#REF!</definedName>
    <definedName name="Z_1A8C061E_2301_11D3_BFD1_000039E37209_.wvu.Rows" localSheetId="13" hidden="1">#REF!,#REF!,#REF!</definedName>
    <definedName name="Z_1A8C061E_2301_11D3_BFD1_000039E37209_.wvu.Rows" localSheetId="3" hidden="1">#REF!,#REF!,#REF!</definedName>
    <definedName name="Z_1A8C061E_2301_11D3_BFD1_000039E37209_.wvu.Rows" hidden="1">#REF!,#REF!,#REF!</definedName>
    <definedName name="Z_1A8C061F_2301_11D3_BFD1_000039E37209_.wvu.Cols" localSheetId="15" hidden="1">#REF!,#REF!,#REF!</definedName>
    <definedName name="Z_1A8C061F_2301_11D3_BFD1_000039E37209_.wvu.Cols" localSheetId="14" hidden="1">#REF!,#REF!,#REF!</definedName>
    <definedName name="Z_1A8C061F_2301_11D3_BFD1_000039E37209_.wvu.Cols" localSheetId="11" hidden="1">#REF!,#REF!,#REF!</definedName>
    <definedName name="Z_1A8C061F_2301_11D3_BFD1_000039E37209_.wvu.Cols" localSheetId="13" hidden="1">#REF!,#REF!,#REF!</definedName>
    <definedName name="Z_1A8C061F_2301_11D3_BFD1_000039E37209_.wvu.Cols" localSheetId="3" hidden="1">#REF!,#REF!,#REF!</definedName>
    <definedName name="Z_1A8C061F_2301_11D3_BFD1_000039E37209_.wvu.Cols" hidden="1">#REF!,#REF!,#REF!</definedName>
    <definedName name="Z_1A8C061F_2301_11D3_BFD1_000039E37209_.wvu.Rows" localSheetId="15" hidden="1">#REF!,#REF!,#REF!</definedName>
    <definedName name="Z_1A8C061F_2301_11D3_BFD1_000039E37209_.wvu.Rows" localSheetId="14" hidden="1">#REF!,#REF!,#REF!</definedName>
    <definedName name="Z_1A8C061F_2301_11D3_BFD1_000039E37209_.wvu.Rows" localSheetId="11" hidden="1">#REF!,#REF!,#REF!</definedName>
    <definedName name="Z_1A8C061F_2301_11D3_BFD1_000039E37209_.wvu.Rows" localSheetId="13" hidden="1">#REF!,#REF!,#REF!</definedName>
    <definedName name="Z_1A8C061F_2301_11D3_BFD1_000039E37209_.wvu.Rows" localSheetId="3" hidden="1">#REF!,#REF!,#REF!</definedName>
    <definedName name="Z_1A8C061F_2301_11D3_BFD1_000039E37209_.wvu.Rows" hidden="1">#REF!,#REF!,#REF!</definedName>
  </definedNames>
  <calcPr calcId="162913"/>
  <pivotCaches>
    <pivotCache cacheId="4" r:id="rId28"/>
    <pivotCache cacheId="5" r:id="rId2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Projects" name="PAProjects" connection="WorksheetConnection_Master MYC 2021.xlsx!PAProjects"/>
          <x15:modelTable id="MTEF" name="MTEF" connection="WorksheetConnection_Master MYC 2021.xlsx!MTEF"/>
          <x15:modelTable id="MasteTable" name="MasteTable" connection="WorksheetConnection_Master MYC 2021.xlsx!MasteTable"/>
          <x15:modelTable id="Aggregate" name="Aggregate" connection="WorksheetConnection_Master MYC 2021.xlsx!Aggregate"/>
        </x15:modelTables>
        <x15:modelRelationships>
          <x15:modelRelationship fromTable="MasteTable" fromColumn="Vote" toTable="MTEF" toColumn="Vo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1" i="29" l="1"/>
  <c r="P21" i="29"/>
  <c r="Q21" i="29"/>
  <c r="N21" i="29"/>
  <c r="O19" i="29"/>
  <c r="O20" i="29"/>
  <c r="O10" i="29"/>
  <c r="B21" i="29"/>
  <c r="C21" i="29"/>
  <c r="D21" i="29"/>
  <c r="E21" i="29"/>
  <c r="P16" i="29"/>
  <c r="O3" i="29"/>
  <c r="P3" i="29"/>
  <c r="Q3" i="29"/>
  <c r="O4" i="29"/>
  <c r="P4" i="29"/>
  <c r="Q4" i="29"/>
  <c r="O5" i="29"/>
  <c r="P5" i="29"/>
  <c r="Q5" i="29"/>
  <c r="O6" i="29"/>
  <c r="P6" i="29"/>
  <c r="Q6" i="29"/>
  <c r="O7" i="29"/>
  <c r="P7" i="29"/>
  <c r="Q7" i="29"/>
  <c r="O8" i="29"/>
  <c r="P8" i="29"/>
  <c r="Q8" i="29"/>
  <c r="O9" i="29"/>
  <c r="P9" i="29"/>
  <c r="Q9" i="29"/>
  <c r="P10" i="29"/>
  <c r="Q10" i="29"/>
  <c r="O11" i="29"/>
  <c r="P11" i="29"/>
  <c r="Q11" i="29"/>
  <c r="O12" i="29"/>
  <c r="P12" i="29"/>
  <c r="Q12" i="29"/>
  <c r="O13" i="29"/>
  <c r="P13" i="29"/>
  <c r="Q13" i="29"/>
  <c r="O14" i="29"/>
  <c r="P14" i="29"/>
  <c r="Q14" i="29"/>
  <c r="O15" i="29"/>
  <c r="P15" i="29"/>
  <c r="Q15" i="29"/>
  <c r="O16" i="29"/>
  <c r="Q16" i="29"/>
  <c r="O17" i="29"/>
  <c r="P17" i="29"/>
  <c r="Q17" i="29"/>
  <c r="O18" i="29"/>
  <c r="P18" i="29"/>
  <c r="Q18" i="29"/>
  <c r="P19" i="29"/>
  <c r="Q19" i="29"/>
  <c r="P20" i="29"/>
  <c r="Q20" i="29"/>
  <c r="N19" i="29"/>
  <c r="N20" i="29"/>
  <c r="N4" i="29"/>
  <c r="N5" i="29"/>
  <c r="N6" i="29"/>
  <c r="N7" i="29"/>
  <c r="N8" i="29"/>
  <c r="N9" i="29"/>
  <c r="N10" i="29"/>
  <c r="N11" i="29"/>
  <c r="N12" i="29"/>
  <c r="N13" i="29"/>
  <c r="N14" i="29"/>
  <c r="N15" i="29"/>
  <c r="N16" i="29"/>
  <c r="N17" i="29"/>
  <c r="N18" i="29"/>
  <c r="N3" i="29"/>
  <c r="R373" i="7"/>
  <c r="P5" i="17" l="1"/>
  <c r="S189" i="7" l="1"/>
  <c r="P373" i="7" l="1"/>
  <c r="O373" i="7"/>
  <c r="AC330" i="21" l="1"/>
  <c r="AC331" i="21"/>
  <c r="AC332" i="21"/>
  <c r="AC333" i="21"/>
  <c r="AC334" i="21"/>
  <c r="AC335" i="21"/>
  <c r="AC336" i="21"/>
  <c r="AC337" i="21"/>
  <c r="AC338" i="21"/>
  <c r="AC339" i="21"/>
  <c r="AC340" i="21"/>
  <c r="AC341" i="21"/>
  <c r="AC342" i="21"/>
  <c r="AC343" i="21"/>
  <c r="AC344" i="21"/>
  <c r="AC345" i="21"/>
  <c r="AC346" i="21"/>
  <c r="AC347" i="21"/>
  <c r="AC348" i="21"/>
  <c r="AC349" i="21"/>
  <c r="AC350" i="21"/>
  <c r="AC351" i="21"/>
  <c r="AC352" i="21"/>
  <c r="AC353" i="21"/>
  <c r="AC354" i="21"/>
  <c r="AC355" i="21"/>
  <c r="AC356" i="21"/>
  <c r="AC357" i="21"/>
  <c r="AC358" i="21"/>
  <c r="AC359" i="21"/>
  <c r="AC360" i="21"/>
  <c r="AC361" i="21"/>
  <c r="AC362" i="21"/>
  <c r="AC363" i="21"/>
  <c r="AC364" i="21"/>
  <c r="AC365" i="21"/>
  <c r="AC366" i="21"/>
  <c r="AC367" i="21"/>
  <c r="AC368" i="21"/>
  <c r="AC369" i="21"/>
  <c r="AC370" i="21"/>
  <c r="AC371" i="21"/>
  <c r="AC372" i="21"/>
  <c r="AC329" i="21"/>
  <c r="Z330" i="21"/>
  <c r="Z331" i="21"/>
  <c r="Z332" i="21"/>
  <c r="Z333"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6" i="21"/>
  <c r="Z367" i="21"/>
  <c r="Z368" i="21"/>
  <c r="Z369" i="21"/>
  <c r="Z370" i="21"/>
  <c r="Z371" i="21"/>
  <c r="Z372" i="21"/>
  <c r="Z329" i="21"/>
  <c r="W372" i="21"/>
  <c r="T372" i="21"/>
  <c r="W330" i="21"/>
  <c r="W331" i="21"/>
  <c r="W332" i="21"/>
  <c r="W333"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6" i="21"/>
  <c r="W367" i="21"/>
  <c r="W368" i="21"/>
  <c r="W369" i="21"/>
  <c r="W370" i="21"/>
  <c r="W371" i="21"/>
  <c r="W329" i="21"/>
  <c r="T330" i="21"/>
  <c r="T331" i="21"/>
  <c r="T332" i="21"/>
  <c r="T333" i="21"/>
  <c r="T334" i="21"/>
  <c r="T335" i="21"/>
  <c r="T336" i="21"/>
  <c r="T337" i="21"/>
  <c r="T338" i="21"/>
  <c r="T339" i="21"/>
  <c r="T340" i="21"/>
  <c r="T341" i="21"/>
  <c r="T342" i="21"/>
  <c r="T343" i="21"/>
  <c r="T344" i="21"/>
  <c r="T345" i="21"/>
  <c r="T346" i="21"/>
  <c r="T347" i="21"/>
  <c r="T348" i="21"/>
  <c r="T349" i="21"/>
  <c r="T350" i="21"/>
  <c r="T351" i="21"/>
  <c r="T352" i="21"/>
  <c r="T353" i="21"/>
  <c r="T354" i="21"/>
  <c r="T355" i="21"/>
  <c r="T356" i="21"/>
  <c r="T357" i="21"/>
  <c r="T358" i="21"/>
  <c r="T359" i="21"/>
  <c r="T360" i="21"/>
  <c r="T361" i="21"/>
  <c r="T362" i="21"/>
  <c r="T363" i="21"/>
  <c r="T364" i="21"/>
  <c r="T365" i="21"/>
  <c r="T366" i="21"/>
  <c r="T367" i="21"/>
  <c r="T368" i="21"/>
  <c r="T369" i="21"/>
  <c r="T370" i="21"/>
  <c r="T371" i="21"/>
  <c r="T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K331" i="21"/>
  <c r="K332" i="21"/>
  <c r="K333" i="21"/>
  <c r="K334" i="21"/>
  <c r="K335" i="21"/>
  <c r="K336" i="21"/>
  <c r="K337" i="21"/>
  <c r="K338" i="21"/>
  <c r="K339" i="21"/>
  <c r="K340" i="21"/>
  <c r="K341" i="21"/>
  <c r="K342" i="21"/>
  <c r="K343" i="21"/>
  <c r="K344" i="21"/>
  <c r="K345" i="21"/>
  <c r="K346" i="21"/>
  <c r="K347" i="21"/>
  <c r="K348" i="21"/>
  <c r="K349" i="21"/>
  <c r="K350" i="21"/>
  <c r="K351" i="21"/>
  <c r="K352" i="21"/>
  <c r="K353" i="21"/>
  <c r="K354" i="21"/>
  <c r="K355" i="21"/>
  <c r="K356" i="21"/>
  <c r="K357" i="21"/>
  <c r="K358" i="21"/>
  <c r="K359" i="21"/>
  <c r="K360" i="21"/>
  <c r="K361" i="21"/>
  <c r="K362" i="21"/>
  <c r="K363" i="21"/>
  <c r="K364" i="21"/>
  <c r="K365" i="21"/>
  <c r="K366" i="21"/>
  <c r="K367" i="21"/>
  <c r="K368" i="21"/>
  <c r="K369" i="21"/>
  <c r="K370" i="21"/>
  <c r="K371" i="21"/>
  <c r="K372" i="21"/>
  <c r="K330"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T4" i="21"/>
  <c r="T139" i="21"/>
  <c r="T140"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T211" i="21"/>
  <c r="T227" i="21"/>
  <c r="T228" i="21"/>
  <c r="T230" i="21"/>
  <c r="T258" i="21"/>
  <c r="T282" i="21"/>
  <c r="T284" i="21"/>
  <c r="T292" i="21"/>
  <c r="T299" i="21"/>
  <c r="T300" i="21"/>
  <c r="T301" i="21"/>
  <c r="T302" i="21"/>
  <c r="T303" i="21"/>
  <c r="T304" i="21"/>
  <c r="T305" i="21"/>
  <c r="T306" i="21"/>
  <c r="T307" i="21"/>
  <c r="T308" i="21"/>
  <c r="T309" i="21"/>
  <c r="T310" i="21"/>
  <c r="T311" i="21"/>
  <c r="T312" i="21"/>
  <c r="T313" i="21"/>
  <c r="T314" i="21"/>
  <c r="T315" i="21"/>
  <c r="T316" i="21"/>
  <c r="T317" i="21"/>
  <c r="T318" i="21"/>
  <c r="T319" i="21"/>
  <c r="T320" i="21"/>
  <c r="T321" i="21"/>
  <c r="T322" i="21"/>
  <c r="T323" i="21"/>
  <c r="T324" i="21"/>
  <c r="T325" i="21"/>
  <c r="T326" i="21"/>
  <c r="T327" i="21"/>
  <c r="T328" i="21"/>
  <c r="W139" i="21"/>
  <c r="W140"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W209" i="21"/>
  <c r="W210" i="21"/>
  <c r="W211" i="21"/>
  <c r="W227" i="21"/>
  <c r="W228" i="21"/>
  <c r="W230" i="21"/>
  <c r="W258" i="21"/>
  <c r="W282" i="21"/>
  <c r="W284" i="21"/>
  <c r="W292" i="21"/>
  <c r="W299" i="21"/>
  <c r="W300" i="21"/>
  <c r="W301" i="21"/>
  <c r="W302" i="21"/>
  <c r="W303" i="21"/>
  <c r="W304" i="21"/>
  <c r="W305" i="21"/>
  <c r="W306" i="21"/>
  <c r="W307" i="21"/>
  <c r="W308" i="21"/>
  <c r="W309" i="21"/>
  <c r="W310" i="21"/>
  <c r="W311" i="21"/>
  <c r="W312" i="21"/>
  <c r="W313" i="21"/>
  <c r="W314" i="21"/>
  <c r="W315" i="21"/>
  <c r="W316" i="21"/>
  <c r="W317" i="21"/>
  <c r="W318" i="21"/>
  <c r="W319" i="21"/>
  <c r="W320" i="21"/>
  <c r="W321" i="21"/>
  <c r="W322" i="21"/>
  <c r="W323" i="21"/>
  <c r="W324" i="21"/>
  <c r="W325" i="21"/>
  <c r="W326" i="21"/>
  <c r="W327" i="21"/>
  <c r="W328" i="21"/>
  <c r="AC139" i="21"/>
  <c r="AC140"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AC170" i="21"/>
  <c r="AC171" i="21"/>
  <c r="AC172" i="21"/>
  <c r="AC173" i="21"/>
  <c r="AC174" i="21"/>
  <c r="AC175" i="21"/>
  <c r="AC176" i="21"/>
  <c r="AC177" i="21"/>
  <c r="AC178" i="21"/>
  <c r="AC179" i="21"/>
  <c r="AC180" i="21"/>
  <c r="AC181" i="21"/>
  <c r="AC182" i="21"/>
  <c r="AC183" i="21"/>
  <c r="AC184" i="21"/>
  <c r="AC185" i="21"/>
  <c r="AC186" i="21"/>
  <c r="AC187" i="21"/>
  <c r="AC188" i="21"/>
  <c r="AC189" i="21"/>
  <c r="AC190" i="21"/>
  <c r="AC191" i="21"/>
  <c r="AC192" i="21"/>
  <c r="AC193" i="21"/>
  <c r="AC194" i="21"/>
  <c r="AC195" i="21"/>
  <c r="AC196" i="21"/>
  <c r="AC197" i="21"/>
  <c r="AC198" i="21"/>
  <c r="AC199" i="21"/>
  <c r="AC200" i="21"/>
  <c r="AC201" i="21"/>
  <c r="AC202" i="21"/>
  <c r="AC203" i="21"/>
  <c r="AC204" i="21"/>
  <c r="AC205" i="21"/>
  <c r="AC206" i="21"/>
  <c r="AC207" i="21"/>
  <c r="AC208" i="21"/>
  <c r="AC209" i="21"/>
  <c r="AC210" i="21"/>
  <c r="AC211" i="21"/>
  <c r="AC227" i="21"/>
  <c r="AC228" i="21"/>
  <c r="AC230" i="21"/>
  <c r="AC258" i="21"/>
  <c r="AC282" i="21"/>
  <c r="AC284" i="21"/>
  <c r="AC292" i="21"/>
  <c r="AC299" i="21"/>
  <c r="AC300" i="21"/>
  <c r="AC301" i="21"/>
  <c r="AC302" i="21"/>
  <c r="AC303" i="21"/>
  <c r="AC304" i="21"/>
  <c r="AC305" i="21"/>
  <c r="AC306" i="21"/>
  <c r="AC307" i="21"/>
  <c r="AC308" i="21"/>
  <c r="AC309" i="21"/>
  <c r="AC310" i="21"/>
  <c r="AC311" i="21"/>
  <c r="AC312" i="21"/>
  <c r="AC313" i="21"/>
  <c r="AC314" i="21"/>
  <c r="AC315" i="21"/>
  <c r="AC316" i="21"/>
  <c r="AC317" i="21"/>
  <c r="AC318" i="21"/>
  <c r="AC319" i="21"/>
  <c r="AC320" i="21"/>
  <c r="AC321" i="21"/>
  <c r="AC322" i="21"/>
  <c r="AC323" i="21"/>
  <c r="AC324" i="21"/>
  <c r="AC325" i="21"/>
  <c r="AC326" i="21"/>
  <c r="AC327" i="21"/>
  <c r="AC328" i="21"/>
  <c r="P211" i="21"/>
  <c r="F26" i="23"/>
  <c r="H26" i="23" s="1"/>
  <c r="G26" i="23"/>
  <c r="I26" i="23" s="1"/>
  <c r="C358" i="21"/>
  <c r="C362" i="21"/>
  <c r="C341" i="21"/>
  <c r="C339" i="21"/>
  <c r="C368" i="21"/>
  <c r="C348" i="21"/>
  <c r="C332" i="21"/>
  <c r="C351" i="21"/>
  <c r="C335" i="21"/>
  <c r="C355" i="21"/>
  <c r="C350" i="21"/>
  <c r="C370" i="21"/>
  <c r="C347" i="21"/>
  <c r="C343" i="21"/>
  <c r="C353" i="21"/>
  <c r="C361" i="21"/>
  <c r="C349" i="21"/>
  <c r="C366" i="21"/>
  <c r="C364" i="21"/>
  <c r="C333" i="21"/>
  <c r="C330" i="21"/>
  <c r="C331" i="21"/>
  <c r="C344" i="21"/>
  <c r="C342" i="21"/>
  <c r="C337" i="21"/>
  <c r="C363" i="21"/>
  <c r="C356" i="21"/>
  <c r="C360" i="21"/>
  <c r="C354" i="21"/>
  <c r="C345" i="21"/>
  <c r="C352" i="21"/>
  <c r="C359" i="21"/>
  <c r="C338" i="21"/>
  <c r="C369" i="21"/>
  <c r="C365" i="21"/>
  <c r="C371" i="21"/>
  <c r="C340" i="21"/>
  <c r="C336" i="21"/>
  <c r="C367" i="21"/>
  <c r="C346" i="21"/>
  <c r="C357" i="21"/>
  <c r="C334" i="21"/>
  <c r="C372" i="21"/>
  <c r="AB293" i="7" l="1"/>
  <c r="AB263" i="7"/>
  <c r="Y293" i="7"/>
  <c r="Y263" i="7"/>
  <c r="V293" i="7"/>
  <c r="V263" i="7"/>
  <c r="S293" i="7"/>
  <c r="S263" i="7"/>
  <c r="AA191" i="7"/>
  <c r="X163" i="7"/>
  <c r="Q11" i="7"/>
  <c r="T263" i="21" l="1"/>
  <c r="T293" i="21"/>
  <c r="W263" i="21"/>
  <c r="AC263" i="21"/>
  <c r="W293" i="21"/>
  <c r="AC293" i="21"/>
  <c r="AD139" i="7"/>
  <c r="AD140" i="7"/>
  <c r="AD149" i="7"/>
  <c r="AD150" i="7"/>
  <c r="AD151" i="7"/>
  <c r="AD152" i="7"/>
  <c r="AD153" i="7"/>
  <c r="AD154" i="7"/>
  <c r="AD155" i="7"/>
  <c r="AD156" i="7"/>
  <c r="AD157" i="7"/>
  <c r="AD158" i="7"/>
  <c r="AD159" i="7"/>
  <c r="AD160" i="7"/>
  <c r="AD161" i="7"/>
  <c r="AD162"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27" i="7"/>
  <c r="AD228" i="7"/>
  <c r="AD230" i="7"/>
  <c r="AD258" i="7"/>
  <c r="AD282" i="7"/>
  <c r="AD284" i="7"/>
  <c r="AD292"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X139" i="7"/>
  <c r="X140" i="7"/>
  <c r="X149" i="7"/>
  <c r="X150" i="7"/>
  <c r="X151" i="7"/>
  <c r="X152" i="7"/>
  <c r="X153" i="7"/>
  <c r="X154" i="7"/>
  <c r="X155" i="7"/>
  <c r="X156" i="7"/>
  <c r="X157" i="7"/>
  <c r="X158" i="7"/>
  <c r="X159" i="7"/>
  <c r="X160" i="7"/>
  <c r="X161" i="7"/>
  <c r="X162"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27" i="7"/>
  <c r="X228" i="7"/>
  <c r="X230" i="7"/>
  <c r="X258" i="7"/>
  <c r="X263" i="7"/>
  <c r="X282" i="7"/>
  <c r="X284" i="7"/>
  <c r="X292"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U4" i="7"/>
  <c r="U139" i="7"/>
  <c r="U140" i="7"/>
  <c r="U149" i="7"/>
  <c r="U150" i="7"/>
  <c r="U151" i="7"/>
  <c r="U152" i="7"/>
  <c r="U153" i="7"/>
  <c r="U154" i="7"/>
  <c r="U155" i="7"/>
  <c r="U156" i="7"/>
  <c r="U157" i="7"/>
  <c r="U158" i="7"/>
  <c r="U159" i="7"/>
  <c r="U160" i="7"/>
  <c r="U161" i="7"/>
  <c r="U162"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27" i="7"/>
  <c r="U228" i="7"/>
  <c r="U230" i="7"/>
  <c r="U258" i="7"/>
  <c r="U263" i="7"/>
  <c r="U282" i="7"/>
  <c r="U284" i="7"/>
  <c r="U292" i="7"/>
  <c r="U293"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Q330" i="7"/>
  <c r="AA330" i="7"/>
  <c r="Q331" i="7"/>
  <c r="AA331" i="7"/>
  <c r="Q332" i="7"/>
  <c r="AA332" i="7"/>
  <c r="Q333" i="7"/>
  <c r="AA333" i="7"/>
  <c r="Q334" i="7"/>
  <c r="AA334" i="7"/>
  <c r="Q335" i="7"/>
  <c r="AA335" i="7"/>
  <c r="Q336" i="7"/>
  <c r="AA336" i="7"/>
  <c r="Q337" i="7"/>
  <c r="AA337" i="7"/>
  <c r="Q338" i="7"/>
  <c r="AA338" i="7"/>
  <c r="Q339" i="7"/>
  <c r="AA339" i="7"/>
  <c r="Q340" i="7"/>
  <c r="AA340" i="7"/>
  <c r="Q341" i="7"/>
  <c r="AA341" i="7"/>
  <c r="Q342" i="7"/>
  <c r="AA342" i="7"/>
  <c r="Q343" i="7"/>
  <c r="AA343" i="7"/>
  <c r="Q344" i="7"/>
  <c r="AA344" i="7"/>
  <c r="Q345" i="7"/>
  <c r="AA345" i="7"/>
  <c r="Q346" i="7"/>
  <c r="AA346" i="7"/>
  <c r="Q347" i="7"/>
  <c r="AA347" i="7"/>
  <c r="Q348" i="7"/>
  <c r="AA348" i="7"/>
  <c r="Q349" i="7"/>
  <c r="AA349" i="7"/>
  <c r="Q350" i="7"/>
  <c r="AA350" i="7"/>
  <c r="Q351" i="7"/>
  <c r="AA351" i="7"/>
  <c r="Q352" i="7"/>
  <c r="AA352" i="7"/>
  <c r="Q353" i="7"/>
  <c r="AA353" i="7"/>
  <c r="Q354" i="7"/>
  <c r="AA354" i="7"/>
  <c r="Q355" i="7"/>
  <c r="AA355" i="7"/>
  <c r="Q356" i="7"/>
  <c r="AA356" i="7"/>
  <c r="Q357" i="7"/>
  <c r="AA357" i="7"/>
  <c r="Q358" i="7"/>
  <c r="AA358" i="7"/>
  <c r="Q359" i="7"/>
  <c r="AA359" i="7"/>
  <c r="Q360" i="7"/>
  <c r="AA360" i="7"/>
  <c r="Q361" i="7"/>
  <c r="AA361" i="7"/>
  <c r="Q362" i="7"/>
  <c r="AA362" i="7"/>
  <c r="Q363" i="7"/>
  <c r="AA363" i="7"/>
  <c r="Q364" i="7"/>
  <c r="AA364" i="7"/>
  <c r="Q365" i="7"/>
  <c r="AA365" i="7"/>
  <c r="Q366" i="7"/>
  <c r="AA366" i="7"/>
  <c r="Q367" i="7"/>
  <c r="AA367" i="7"/>
  <c r="Q368" i="7"/>
  <c r="AA368" i="7"/>
  <c r="Q369" i="7"/>
  <c r="AA369" i="7"/>
  <c r="Q370" i="7"/>
  <c r="AA370" i="7"/>
  <c r="Q371" i="7"/>
  <c r="AA371" i="7"/>
  <c r="Q372" i="7"/>
  <c r="AA372"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Q211" i="7"/>
  <c r="C217" i="9"/>
  <c r="E217" i="9"/>
  <c r="F217" i="9" s="1"/>
  <c r="C216" i="9"/>
  <c r="E216" i="9"/>
  <c r="F216" i="9" s="1"/>
  <c r="C367" i="7"/>
  <c r="C358" i="7"/>
  <c r="C349" i="7"/>
  <c r="C348" i="7"/>
  <c r="C337" i="7"/>
  <c r="C344" i="7"/>
  <c r="C372" i="7"/>
  <c r="C369" i="7"/>
  <c r="C333" i="7"/>
  <c r="C352" i="7"/>
  <c r="C354" i="7"/>
  <c r="C362" i="7"/>
  <c r="C341" i="7"/>
  <c r="C332" i="7"/>
  <c r="C351" i="7"/>
  <c r="C335" i="7"/>
  <c r="C356" i="7"/>
  <c r="C345" i="7"/>
  <c r="C331" i="7"/>
  <c r="C340" i="7"/>
  <c r="C361" i="7"/>
  <c r="C353" i="7"/>
  <c r="C355" i="7"/>
  <c r="C368" i="7"/>
  <c r="C363" i="7"/>
  <c r="C343" i="7"/>
  <c r="C370" i="7"/>
  <c r="C364" i="7"/>
  <c r="C336" i="7"/>
  <c r="C365" i="7"/>
  <c r="C330" i="7"/>
  <c r="C342" i="7"/>
  <c r="C359" i="7"/>
  <c r="C347" i="7"/>
  <c r="C339" i="7"/>
  <c r="C334" i="7"/>
  <c r="C360" i="7"/>
  <c r="C350" i="7"/>
  <c r="C346" i="7"/>
  <c r="C366" i="7"/>
  <c r="C338" i="7"/>
  <c r="C357" i="7"/>
  <c r="C371" i="7"/>
  <c r="M5" i="26" l="1"/>
  <c r="M6" i="26"/>
  <c r="M7" i="26"/>
  <c r="M8" i="26"/>
  <c r="M9" i="26"/>
  <c r="M10" i="26"/>
  <c r="M11" i="26"/>
  <c r="M12" i="26"/>
  <c r="M13" i="26"/>
  <c r="M14" i="26"/>
  <c r="M15" i="26"/>
  <c r="M16" i="26"/>
  <c r="M17" i="26"/>
  <c r="M18" i="26"/>
  <c r="M19" i="26"/>
  <c r="M20" i="26"/>
  <c r="M21" i="26"/>
  <c r="M4" i="26"/>
  <c r="K5" i="26"/>
  <c r="Q5" i="26" s="1"/>
  <c r="K6" i="26"/>
  <c r="Q6" i="26" s="1"/>
  <c r="K7" i="26"/>
  <c r="K8" i="26"/>
  <c r="Q8" i="26" s="1"/>
  <c r="K9" i="26"/>
  <c r="Q9" i="26" s="1"/>
  <c r="K10" i="26"/>
  <c r="Q10" i="26" s="1"/>
  <c r="K11" i="26"/>
  <c r="Q11" i="26" s="1"/>
  <c r="K12" i="26"/>
  <c r="Q12" i="26" s="1"/>
  <c r="K13" i="26"/>
  <c r="Q13" i="26" s="1"/>
  <c r="K14" i="26"/>
  <c r="Q14" i="26" s="1"/>
  <c r="K15" i="26"/>
  <c r="Q15" i="26" s="1"/>
  <c r="K16" i="26"/>
  <c r="Q16" i="26" s="1"/>
  <c r="K17" i="26"/>
  <c r="Q17" i="26" s="1"/>
  <c r="K18" i="26"/>
  <c r="Q18" i="26" s="1"/>
  <c r="K19" i="26"/>
  <c r="Q19" i="26" s="1"/>
  <c r="K20" i="26"/>
  <c r="Q20" i="26" s="1"/>
  <c r="K21" i="26"/>
  <c r="Q21" i="26" s="1"/>
  <c r="K4" i="26"/>
  <c r="Q4" i="26" s="1"/>
  <c r="J5" i="26"/>
  <c r="P5" i="26" s="1"/>
  <c r="J6" i="26"/>
  <c r="P6" i="26" s="1"/>
  <c r="J7" i="26"/>
  <c r="P7" i="26" s="1"/>
  <c r="J8" i="26"/>
  <c r="P8" i="26" s="1"/>
  <c r="J9" i="26"/>
  <c r="P9" i="26" s="1"/>
  <c r="J10" i="26"/>
  <c r="P10" i="26" s="1"/>
  <c r="J11" i="26"/>
  <c r="P11" i="26" s="1"/>
  <c r="J12" i="26"/>
  <c r="P12" i="26" s="1"/>
  <c r="J13" i="26"/>
  <c r="P13" i="26" s="1"/>
  <c r="J14" i="26"/>
  <c r="P14" i="26" s="1"/>
  <c r="J15" i="26"/>
  <c r="P15" i="26" s="1"/>
  <c r="J16" i="26"/>
  <c r="P16" i="26" s="1"/>
  <c r="J17" i="26"/>
  <c r="P17" i="26" s="1"/>
  <c r="J18" i="26"/>
  <c r="P18" i="26" s="1"/>
  <c r="J19" i="26"/>
  <c r="P19" i="26" s="1"/>
  <c r="J20" i="26"/>
  <c r="P20" i="26" s="1"/>
  <c r="J21" i="26"/>
  <c r="P21" i="26" s="1"/>
  <c r="J4" i="26"/>
  <c r="P4" i="26" s="1"/>
  <c r="I5" i="26"/>
  <c r="O5" i="26" s="1"/>
  <c r="I6" i="26"/>
  <c r="O6" i="26" s="1"/>
  <c r="I7" i="26"/>
  <c r="O7" i="26" s="1"/>
  <c r="I8" i="26"/>
  <c r="O8" i="26" s="1"/>
  <c r="I9" i="26"/>
  <c r="O9" i="26" s="1"/>
  <c r="I10" i="26"/>
  <c r="O10" i="26" s="1"/>
  <c r="I11" i="26"/>
  <c r="O11" i="26" s="1"/>
  <c r="I12" i="26"/>
  <c r="O12" i="26" s="1"/>
  <c r="I13" i="26"/>
  <c r="O13" i="26" s="1"/>
  <c r="I14" i="26"/>
  <c r="O14" i="26" s="1"/>
  <c r="I15" i="26"/>
  <c r="O15" i="26" s="1"/>
  <c r="I16" i="26"/>
  <c r="O16" i="26" s="1"/>
  <c r="I17" i="26"/>
  <c r="O17" i="26" s="1"/>
  <c r="I18" i="26"/>
  <c r="O18" i="26" s="1"/>
  <c r="I19" i="26"/>
  <c r="O19" i="26" s="1"/>
  <c r="I20" i="26"/>
  <c r="O20" i="26" s="1"/>
  <c r="I21" i="26"/>
  <c r="O21" i="26" s="1"/>
  <c r="I4" i="26"/>
  <c r="H5" i="26"/>
  <c r="N5" i="26" s="1"/>
  <c r="H6" i="26"/>
  <c r="N6" i="26" s="1"/>
  <c r="H7" i="26"/>
  <c r="N7" i="26" s="1"/>
  <c r="H8" i="26"/>
  <c r="N8" i="26" s="1"/>
  <c r="H9" i="26"/>
  <c r="N9" i="26" s="1"/>
  <c r="H10" i="26"/>
  <c r="N10" i="26" s="1"/>
  <c r="H11" i="26"/>
  <c r="N11" i="26" s="1"/>
  <c r="H12" i="26"/>
  <c r="N12" i="26" s="1"/>
  <c r="H13" i="26"/>
  <c r="N13" i="26" s="1"/>
  <c r="H14" i="26"/>
  <c r="N14" i="26" s="1"/>
  <c r="H15" i="26"/>
  <c r="N15" i="26" s="1"/>
  <c r="H16" i="26"/>
  <c r="N16" i="26" s="1"/>
  <c r="H17" i="26"/>
  <c r="N17" i="26" s="1"/>
  <c r="H18" i="26"/>
  <c r="N18" i="26" s="1"/>
  <c r="H19" i="26"/>
  <c r="N19" i="26" s="1"/>
  <c r="H20" i="26"/>
  <c r="N20" i="26" s="1"/>
  <c r="H21" i="26"/>
  <c r="N21" i="26" s="1"/>
  <c r="H4" i="26"/>
  <c r="N4" i="26" s="1"/>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D20" i="25"/>
  <c r="E20" i="25"/>
  <c r="F20" i="25"/>
  <c r="C20" i="25"/>
  <c r="G7" i="23"/>
  <c r="G8" i="23"/>
  <c r="G9" i="23"/>
  <c r="G10" i="23"/>
  <c r="G11" i="23"/>
  <c r="G12" i="23"/>
  <c r="G13" i="23"/>
  <c r="G14" i="23"/>
  <c r="G15" i="23"/>
  <c r="G16" i="23"/>
  <c r="G17" i="23"/>
  <c r="G18" i="23"/>
  <c r="G19" i="23"/>
  <c r="G20" i="23"/>
  <c r="G21" i="23"/>
  <c r="G22" i="23"/>
  <c r="G23" i="23"/>
  <c r="G24" i="23"/>
  <c r="G25" i="23"/>
  <c r="G6" i="23"/>
  <c r="F7" i="23"/>
  <c r="F8" i="23"/>
  <c r="F9" i="23"/>
  <c r="F10" i="23"/>
  <c r="F11" i="23"/>
  <c r="F12" i="23"/>
  <c r="F13" i="23"/>
  <c r="F14" i="23"/>
  <c r="F15" i="23"/>
  <c r="F16" i="23"/>
  <c r="F17" i="23"/>
  <c r="F18" i="23"/>
  <c r="F19" i="23"/>
  <c r="F20" i="23"/>
  <c r="F21" i="23"/>
  <c r="F22" i="23"/>
  <c r="F23" i="23"/>
  <c r="F24" i="23"/>
  <c r="F25" i="23"/>
  <c r="F6" i="23"/>
  <c r="K22" i="26" l="1"/>
  <c r="I22" i="26"/>
  <c r="O4" i="26"/>
  <c r="Q7" i="26"/>
  <c r="J22" i="26"/>
  <c r="H22" i="26"/>
  <c r="H6" i="23"/>
  <c r="H10" i="23"/>
  <c r="H14" i="23"/>
  <c r="H18" i="23"/>
  <c r="H22" i="23"/>
  <c r="I25" i="23"/>
  <c r="H25" i="23"/>
  <c r="I24" i="23"/>
  <c r="H24" i="23"/>
  <c r="I23" i="23"/>
  <c r="H23" i="23"/>
  <c r="I22" i="23"/>
  <c r="I21" i="23"/>
  <c r="H21" i="23"/>
  <c r="I20" i="23"/>
  <c r="H20" i="23"/>
  <c r="I19" i="23"/>
  <c r="H19" i="23"/>
  <c r="I18" i="23"/>
  <c r="I17" i="23"/>
  <c r="H17" i="23"/>
  <c r="I16" i="23"/>
  <c r="H16" i="23"/>
  <c r="I15" i="23"/>
  <c r="H15" i="23"/>
  <c r="I14" i="23"/>
  <c r="I13" i="23"/>
  <c r="H13" i="23"/>
  <c r="I12" i="23"/>
  <c r="H12" i="23"/>
  <c r="I11" i="23"/>
  <c r="H11" i="23"/>
  <c r="I10" i="23"/>
  <c r="I9" i="23"/>
  <c r="H9" i="23"/>
  <c r="I8" i="23"/>
  <c r="H8" i="23"/>
  <c r="I7" i="23"/>
  <c r="H7" i="23"/>
  <c r="I6" i="23"/>
  <c r="E8" i="22" l="1"/>
  <c r="E7" i="22"/>
  <c r="G7" i="22" s="1"/>
  <c r="E6" i="22"/>
  <c r="G6" i="22" s="1"/>
  <c r="E5" i="22"/>
  <c r="G5" i="22" s="1"/>
  <c r="D8" i="22"/>
  <c r="F8" i="22" s="1"/>
  <c r="D7" i="22"/>
  <c r="D6" i="22"/>
  <c r="F6" i="22" s="1"/>
  <c r="D5" i="22"/>
  <c r="F5" i="22" s="1"/>
  <c r="G8" i="22"/>
  <c r="F7" i="22"/>
  <c r="Q329" i="21"/>
  <c r="P329" i="21"/>
  <c r="D329" i="21"/>
  <c r="Z328" i="21"/>
  <c r="Q328" i="21"/>
  <c r="P328" i="21"/>
  <c r="D328" i="21"/>
  <c r="Z327" i="21"/>
  <c r="Q327" i="21"/>
  <c r="P327" i="21"/>
  <c r="D327" i="21"/>
  <c r="Z326" i="21"/>
  <c r="Q326" i="21"/>
  <c r="P326" i="21"/>
  <c r="D326" i="21"/>
  <c r="Z325" i="21"/>
  <c r="Q325" i="21"/>
  <c r="P325" i="21"/>
  <c r="D325" i="21"/>
  <c r="Z324" i="21"/>
  <c r="Q324" i="21"/>
  <c r="P324" i="21"/>
  <c r="D324" i="21"/>
  <c r="Z323" i="21"/>
  <c r="Q323" i="21"/>
  <c r="P323" i="21"/>
  <c r="D323" i="21"/>
  <c r="Z322" i="21"/>
  <c r="Q322" i="21"/>
  <c r="P322" i="21"/>
  <c r="D322" i="21"/>
  <c r="Z321" i="21"/>
  <c r="Q321" i="21"/>
  <c r="P321" i="21"/>
  <c r="D321" i="21"/>
  <c r="Z320" i="21"/>
  <c r="Q320" i="21"/>
  <c r="P320" i="21"/>
  <c r="D320" i="21"/>
  <c r="Z319" i="21"/>
  <c r="Q319" i="21"/>
  <c r="P319" i="21"/>
  <c r="D319" i="21"/>
  <c r="Z318" i="21"/>
  <c r="Q318" i="21"/>
  <c r="P318" i="21"/>
  <c r="D318" i="21"/>
  <c r="Z317" i="21"/>
  <c r="Q317" i="21"/>
  <c r="P317" i="21"/>
  <c r="D317" i="21"/>
  <c r="Z316" i="21"/>
  <c r="Q316" i="21"/>
  <c r="P316" i="21"/>
  <c r="D316" i="21"/>
  <c r="Z315" i="21"/>
  <c r="Q315" i="21"/>
  <c r="P315" i="21"/>
  <c r="D315" i="21"/>
  <c r="Z314" i="21"/>
  <c r="Q314" i="21"/>
  <c r="P314" i="21"/>
  <c r="D314" i="21"/>
  <c r="Z313" i="21"/>
  <c r="Q313" i="21"/>
  <c r="P313" i="21"/>
  <c r="D313" i="21"/>
  <c r="Z312" i="21"/>
  <c r="Q312" i="21"/>
  <c r="P312" i="21"/>
  <c r="D312" i="21"/>
  <c r="Z311" i="21"/>
  <c r="Q311" i="21"/>
  <c r="P311" i="21"/>
  <c r="D311" i="21"/>
  <c r="Z310" i="21"/>
  <c r="Q310" i="21"/>
  <c r="P310" i="21"/>
  <c r="D310" i="21"/>
  <c r="Z309" i="21"/>
  <c r="Q309" i="21"/>
  <c r="P309" i="21"/>
  <c r="D309" i="21"/>
  <c r="Z308" i="21"/>
  <c r="Q308" i="21"/>
  <c r="P308" i="21"/>
  <c r="D308" i="21"/>
  <c r="Z307" i="21"/>
  <c r="Q307" i="21"/>
  <c r="P307" i="21"/>
  <c r="D307" i="21"/>
  <c r="Z306" i="21"/>
  <c r="Q306" i="21"/>
  <c r="P306" i="21"/>
  <c r="D306" i="21"/>
  <c r="Z305" i="21"/>
  <c r="Q305" i="21"/>
  <c r="P305" i="21"/>
  <c r="D305" i="21"/>
  <c r="Z304" i="21"/>
  <c r="Q304" i="21"/>
  <c r="P304" i="21"/>
  <c r="D304" i="21"/>
  <c r="Z303" i="21"/>
  <c r="Q303" i="21"/>
  <c r="P303" i="21"/>
  <c r="D303" i="21"/>
  <c r="Z302" i="21"/>
  <c r="Q302" i="21"/>
  <c r="P302" i="21"/>
  <c r="D302" i="21"/>
  <c r="Z301" i="21"/>
  <c r="Q301" i="21"/>
  <c r="P301" i="21"/>
  <c r="D301" i="21"/>
  <c r="Z300" i="21"/>
  <c r="Q300" i="21"/>
  <c r="P300" i="21"/>
  <c r="D300" i="21"/>
  <c r="Z299" i="21"/>
  <c r="Q299" i="21"/>
  <c r="P299" i="21"/>
  <c r="D299" i="21"/>
  <c r="R298" i="21"/>
  <c r="Q298" i="21"/>
  <c r="P298" i="21"/>
  <c r="K298" i="21"/>
  <c r="D298" i="21"/>
  <c r="R297" i="21"/>
  <c r="U297" i="21" s="1"/>
  <c r="Q297" i="21"/>
  <c r="P297" i="21"/>
  <c r="K297" i="21"/>
  <c r="D297" i="21"/>
  <c r="R296" i="21"/>
  <c r="Q296" i="21"/>
  <c r="P296" i="21"/>
  <c r="K296" i="21"/>
  <c r="D296" i="21"/>
  <c r="R295" i="21"/>
  <c r="Q295" i="21"/>
  <c r="P295" i="21"/>
  <c r="K295" i="21"/>
  <c r="D295" i="21"/>
  <c r="R294" i="21"/>
  <c r="Q294" i="21"/>
  <c r="P294" i="21"/>
  <c r="K294" i="21"/>
  <c r="D294" i="21"/>
  <c r="R293" i="21"/>
  <c r="U293" i="21" s="1"/>
  <c r="Q293" i="21"/>
  <c r="P293" i="21"/>
  <c r="K293" i="21"/>
  <c r="D293" i="21"/>
  <c r="Q292" i="21"/>
  <c r="P292" i="21"/>
  <c r="D292" i="21"/>
  <c r="R291" i="21"/>
  <c r="U291" i="21" s="1"/>
  <c r="Q291" i="21"/>
  <c r="P291" i="21"/>
  <c r="K291" i="21"/>
  <c r="D291" i="21"/>
  <c r="R290" i="21"/>
  <c r="Q290" i="21"/>
  <c r="P290" i="21"/>
  <c r="K290" i="21"/>
  <c r="D290" i="21"/>
  <c r="R289" i="21"/>
  <c r="Q289" i="21"/>
  <c r="P289" i="21"/>
  <c r="K289" i="21"/>
  <c r="D289" i="21"/>
  <c r="R288" i="21"/>
  <c r="Q288" i="21"/>
  <c r="P288" i="21"/>
  <c r="K288" i="21"/>
  <c r="D288" i="21"/>
  <c r="R287" i="21"/>
  <c r="U287" i="21" s="1"/>
  <c r="Q287" i="21"/>
  <c r="P287" i="21"/>
  <c r="K287" i="21"/>
  <c r="D287" i="21"/>
  <c r="R286" i="21"/>
  <c r="U286" i="21" s="1"/>
  <c r="Q286" i="21"/>
  <c r="P286" i="21"/>
  <c r="K286" i="21"/>
  <c r="D286" i="21"/>
  <c r="R285" i="21"/>
  <c r="Q285" i="21"/>
  <c r="P285" i="21"/>
  <c r="K285" i="21"/>
  <c r="D285" i="21"/>
  <c r="Q284" i="21"/>
  <c r="P284" i="21"/>
  <c r="D284" i="21"/>
  <c r="R283" i="21"/>
  <c r="Q283" i="21"/>
  <c r="P283" i="21"/>
  <c r="K283" i="21"/>
  <c r="D283" i="21"/>
  <c r="Q282" i="21"/>
  <c r="P282" i="21"/>
  <c r="D282" i="21"/>
  <c r="R281" i="21"/>
  <c r="Q281" i="21"/>
  <c r="P281" i="21"/>
  <c r="K281" i="21"/>
  <c r="D281" i="21"/>
  <c r="R280" i="21"/>
  <c r="Q280" i="21"/>
  <c r="P280" i="21"/>
  <c r="K280" i="21"/>
  <c r="D280" i="21"/>
  <c r="R279" i="21"/>
  <c r="U279" i="21" s="1"/>
  <c r="Q279" i="21"/>
  <c r="P279" i="21"/>
  <c r="K279" i="21"/>
  <c r="D279" i="21"/>
  <c r="R278" i="21"/>
  <c r="U278" i="21" s="1"/>
  <c r="Q278" i="21"/>
  <c r="P278" i="21"/>
  <c r="K278" i="21"/>
  <c r="D278" i="21"/>
  <c r="R277" i="21"/>
  <c r="Q277" i="21"/>
  <c r="P277" i="21"/>
  <c r="K277" i="21"/>
  <c r="D277" i="21"/>
  <c r="R276" i="21"/>
  <c r="U276" i="21" s="1"/>
  <c r="Q276" i="21"/>
  <c r="P276" i="21"/>
  <c r="K276" i="21"/>
  <c r="D276" i="21"/>
  <c r="R275" i="21"/>
  <c r="Q275" i="21"/>
  <c r="P275" i="21"/>
  <c r="K275" i="21"/>
  <c r="D275" i="21"/>
  <c r="R274" i="21"/>
  <c r="Q274" i="21"/>
  <c r="P274" i="21"/>
  <c r="K274" i="21"/>
  <c r="D274" i="21"/>
  <c r="R273" i="21"/>
  <c r="Q273" i="21"/>
  <c r="P273" i="21"/>
  <c r="K273" i="21"/>
  <c r="D273" i="21"/>
  <c r="R272" i="21"/>
  <c r="U272" i="21" s="1"/>
  <c r="X272" i="21" s="1"/>
  <c r="Q272" i="21"/>
  <c r="P272" i="21"/>
  <c r="K272" i="21"/>
  <c r="D272" i="21"/>
  <c r="R271" i="21"/>
  <c r="U271" i="21" s="1"/>
  <c r="Q271" i="21"/>
  <c r="P271" i="21"/>
  <c r="K271" i="21"/>
  <c r="D271" i="21"/>
  <c r="R270" i="21"/>
  <c r="U270" i="21" s="1"/>
  <c r="Q270" i="21"/>
  <c r="P270" i="21"/>
  <c r="K270" i="21"/>
  <c r="D270" i="21"/>
  <c r="R269" i="21"/>
  <c r="Q269" i="21"/>
  <c r="P269" i="21"/>
  <c r="K269" i="21"/>
  <c r="D269" i="21"/>
  <c r="R268" i="21"/>
  <c r="U268" i="21" s="1"/>
  <c r="X268" i="21" s="1"/>
  <c r="Q268" i="21"/>
  <c r="P268" i="21"/>
  <c r="K268" i="21"/>
  <c r="D268" i="21"/>
  <c r="R267" i="21"/>
  <c r="U267" i="21" s="1"/>
  <c r="Q267" i="21"/>
  <c r="P267" i="21"/>
  <c r="K267" i="21"/>
  <c r="D267" i="21"/>
  <c r="R266" i="21"/>
  <c r="U266" i="21" s="1"/>
  <c r="X266" i="21" s="1"/>
  <c r="Q266" i="21"/>
  <c r="P266" i="21"/>
  <c r="K266" i="21"/>
  <c r="D266" i="21"/>
  <c r="R265" i="21"/>
  <c r="Q265" i="21"/>
  <c r="P265" i="21"/>
  <c r="K265" i="21"/>
  <c r="D265" i="21"/>
  <c r="R264" i="21"/>
  <c r="U264" i="21" s="1"/>
  <c r="X264" i="21" s="1"/>
  <c r="AA264" i="21" s="1"/>
  <c r="Q264" i="21"/>
  <c r="P264" i="21"/>
  <c r="K264" i="21"/>
  <c r="D264" i="21"/>
  <c r="R263" i="21"/>
  <c r="U263" i="21" s="1"/>
  <c r="Q263" i="21"/>
  <c r="P263" i="21"/>
  <c r="K263" i="21"/>
  <c r="D263" i="21"/>
  <c r="R262" i="21"/>
  <c r="U262" i="21" s="1"/>
  <c r="X262" i="21" s="1"/>
  <c r="Q262" i="21"/>
  <c r="P262" i="21"/>
  <c r="K262" i="21"/>
  <c r="D262" i="21"/>
  <c r="R261" i="21"/>
  <c r="Q261" i="21"/>
  <c r="P261" i="21"/>
  <c r="K261" i="21"/>
  <c r="D261" i="21"/>
  <c r="R260" i="21"/>
  <c r="U260" i="21" s="1"/>
  <c r="Q260" i="21"/>
  <c r="P260" i="21"/>
  <c r="K260" i="21"/>
  <c r="D260" i="21"/>
  <c r="R259" i="21"/>
  <c r="U259" i="21" s="1"/>
  <c r="Q259" i="21"/>
  <c r="P259" i="21"/>
  <c r="K259" i="21"/>
  <c r="D259" i="21"/>
  <c r="Z258" i="21"/>
  <c r="Q258" i="21"/>
  <c r="P258" i="21"/>
  <c r="K258" i="21"/>
  <c r="D258" i="21"/>
  <c r="R257" i="21"/>
  <c r="Q257" i="21"/>
  <c r="P257" i="21"/>
  <c r="K257" i="21"/>
  <c r="D257" i="21"/>
  <c r="R256" i="21"/>
  <c r="U256" i="21" s="1"/>
  <c r="X256" i="21" s="1"/>
  <c r="AA256" i="21" s="1"/>
  <c r="Q256" i="21"/>
  <c r="P256" i="21"/>
  <c r="K256" i="21"/>
  <c r="D256" i="21"/>
  <c r="R255" i="21"/>
  <c r="U255" i="21" s="1"/>
  <c r="Q255" i="21"/>
  <c r="P255" i="21"/>
  <c r="K255" i="21"/>
  <c r="D255" i="21"/>
  <c r="R254" i="21"/>
  <c r="U254" i="21" s="1"/>
  <c r="X254" i="21" s="1"/>
  <c r="AA254" i="21" s="1"/>
  <c r="Q254" i="21"/>
  <c r="P254" i="21"/>
  <c r="K254" i="21"/>
  <c r="D254" i="21"/>
  <c r="R253" i="21"/>
  <c r="Q253" i="21"/>
  <c r="P253" i="21"/>
  <c r="K253" i="21"/>
  <c r="D253" i="21"/>
  <c r="R252" i="21"/>
  <c r="U252" i="21" s="1"/>
  <c r="X252" i="21" s="1"/>
  <c r="AA252" i="21" s="1"/>
  <c r="Q252" i="21"/>
  <c r="P252" i="21"/>
  <c r="K252" i="21"/>
  <c r="D252" i="21"/>
  <c r="R251" i="21"/>
  <c r="U251" i="21" s="1"/>
  <c r="Q251" i="21"/>
  <c r="P251" i="21"/>
  <c r="K251" i="21"/>
  <c r="D251" i="21"/>
  <c r="R250" i="21"/>
  <c r="U250" i="21" s="1"/>
  <c r="X250" i="21" s="1"/>
  <c r="Z250" i="21" s="1"/>
  <c r="Q250" i="21"/>
  <c r="P250" i="21"/>
  <c r="K250" i="21"/>
  <c r="D250" i="21"/>
  <c r="R249" i="21"/>
  <c r="Q249" i="21"/>
  <c r="P249" i="21"/>
  <c r="K249" i="21"/>
  <c r="D249" i="21"/>
  <c r="R248" i="21"/>
  <c r="U248" i="21" s="1"/>
  <c r="Q248" i="21"/>
  <c r="P248" i="21"/>
  <c r="K248" i="21"/>
  <c r="D248" i="21"/>
  <c r="R247" i="21"/>
  <c r="U247" i="21" s="1"/>
  <c r="X247" i="21" s="1"/>
  <c r="Q247" i="21"/>
  <c r="P247" i="21"/>
  <c r="K247" i="21"/>
  <c r="D247" i="21"/>
  <c r="R246" i="21"/>
  <c r="Q246" i="21"/>
  <c r="P246" i="21"/>
  <c r="K246" i="21"/>
  <c r="D246" i="21"/>
  <c r="R245" i="21"/>
  <c r="U245" i="21" s="1"/>
  <c r="X245" i="21" s="1"/>
  <c r="Q245" i="21"/>
  <c r="P245" i="21"/>
  <c r="K245" i="21"/>
  <c r="D245" i="21"/>
  <c r="R244" i="21"/>
  <c r="U244" i="21" s="1"/>
  <c r="Q244" i="21"/>
  <c r="P244" i="21"/>
  <c r="K244" i="21"/>
  <c r="D244" i="21"/>
  <c r="R243" i="21"/>
  <c r="U243" i="21" s="1"/>
  <c r="X243" i="21" s="1"/>
  <c r="Q243" i="21"/>
  <c r="P243" i="21"/>
  <c r="K243" i="21"/>
  <c r="D243" i="21"/>
  <c r="R242" i="21"/>
  <c r="Q242" i="21"/>
  <c r="P242" i="21"/>
  <c r="K242" i="21"/>
  <c r="D242" i="21"/>
  <c r="R241" i="21"/>
  <c r="U241" i="21" s="1"/>
  <c r="X241" i="21" s="1"/>
  <c r="Q241" i="21"/>
  <c r="P241" i="21"/>
  <c r="K241" i="21"/>
  <c r="D241" i="21"/>
  <c r="R240" i="21"/>
  <c r="U240" i="21" s="1"/>
  <c r="Q240" i="21"/>
  <c r="P240" i="21"/>
  <c r="K240" i="21"/>
  <c r="D240" i="21"/>
  <c r="R239" i="21"/>
  <c r="U239" i="21" s="1"/>
  <c r="X239" i="21" s="1"/>
  <c r="Q239" i="21"/>
  <c r="P239" i="21"/>
  <c r="K239" i="21"/>
  <c r="D239" i="21"/>
  <c r="R238" i="21"/>
  <c r="U238" i="21" s="1"/>
  <c r="Q238" i="21"/>
  <c r="P238" i="21"/>
  <c r="K238" i="21"/>
  <c r="D238" i="21"/>
  <c r="R237" i="21"/>
  <c r="Q237" i="21"/>
  <c r="P237" i="21"/>
  <c r="K237" i="21"/>
  <c r="D237" i="21"/>
  <c r="R236" i="21"/>
  <c r="U236" i="21" s="1"/>
  <c r="X236" i="21" s="1"/>
  <c r="Z236" i="21" s="1"/>
  <c r="Q236" i="21"/>
  <c r="P236" i="21"/>
  <c r="K236" i="21"/>
  <c r="D236" i="21"/>
  <c r="R235" i="21"/>
  <c r="Q235" i="21"/>
  <c r="P235" i="21"/>
  <c r="K235" i="21"/>
  <c r="D235" i="21"/>
  <c r="R234" i="21"/>
  <c r="U234" i="21" s="1"/>
  <c r="Q234" i="21"/>
  <c r="P234" i="21"/>
  <c r="K234" i="21"/>
  <c r="D234" i="21"/>
  <c r="R233" i="21"/>
  <c r="U233" i="21" s="1"/>
  <c r="Q233" i="21"/>
  <c r="P233" i="21"/>
  <c r="K233" i="21"/>
  <c r="D233" i="21"/>
  <c r="R232" i="21"/>
  <c r="U232" i="21" s="1"/>
  <c r="X232" i="21" s="1"/>
  <c r="Z232" i="21" s="1"/>
  <c r="Q232" i="21"/>
  <c r="P232" i="21"/>
  <c r="K232" i="21"/>
  <c r="D232" i="21"/>
  <c r="R231" i="21"/>
  <c r="Q231" i="21"/>
  <c r="P231" i="21"/>
  <c r="K231" i="21"/>
  <c r="D231" i="21"/>
  <c r="Z230" i="21"/>
  <c r="Q230" i="21"/>
  <c r="P230" i="21"/>
  <c r="K230" i="21"/>
  <c r="D230" i="21"/>
  <c r="R229" i="21"/>
  <c r="U229" i="21" s="1"/>
  <c r="Q229" i="21"/>
  <c r="P229" i="21"/>
  <c r="K229" i="21"/>
  <c r="D229" i="21"/>
  <c r="Z228" i="21"/>
  <c r="Q228" i="21"/>
  <c r="P228" i="21"/>
  <c r="K228" i="21"/>
  <c r="D228" i="21"/>
  <c r="Z227" i="21"/>
  <c r="Q227" i="21"/>
  <c r="P227" i="21"/>
  <c r="K227" i="21"/>
  <c r="D227" i="21"/>
  <c r="R226" i="21"/>
  <c r="U226" i="21" s="1"/>
  <c r="X226" i="21" s="1"/>
  <c r="AA226" i="21" s="1"/>
  <c r="Q226" i="21"/>
  <c r="P226" i="21"/>
  <c r="K226" i="21"/>
  <c r="D226" i="21"/>
  <c r="R225" i="21"/>
  <c r="U225" i="21" s="1"/>
  <c r="Q225" i="21"/>
  <c r="P225" i="21"/>
  <c r="K225" i="21"/>
  <c r="D225" i="21"/>
  <c r="R224" i="21"/>
  <c r="Q224" i="21"/>
  <c r="P224" i="21"/>
  <c r="K224" i="21"/>
  <c r="D224" i="21"/>
  <c r="R223" i="21"/>
  <c r="U223" i="21" s="1"/>
  <c r="Q223" i="21"/>
  <c r="P223" i="21"/>
  <c r="K223" i="21"/>
  <c r="D223" i="21"/>
  <c r="R222" i="21"/>
  <c r="U222" i="21" s="1"/>
  <c r="Q222" i="21"/>
  <c r="P222" i="21"/>
  <c r="K222" i="21"/>
  <c r="D222" i="21"/>
  <c r="R221" i="21"/>
  <c r="U221" i="21" s="1"/>
  <c r="X221" i="21" s="1"/>
  <c r="Q221" i="21"/>
  <c r="P221" i="21"/>
  <c r="K221" i="21"/>
  <c r="D221" i="21"/>
  <c r="R220" i="21"/>
  <c r="Q220" i="21"/>
  <c r="P220" i="21"/>
  <c r="K220" i="21"/>
  <c r="D220" i="21"/>
  <c r="R219" i="21"/>
  <c r="U219" i="21" s="1"/>
  <c r="Q219" i="21"/>
  <c r="P219" i="21"/>
  <c r="K219" i="21"/>
  <c r="D219" i="21"/>
  <c r="R218" i="21"/>
  <c r="U218" i="21" s="1"/>
  <c r="Q218" i="21"/>
  <c r="P218" i="21"/>
  <c r="K218" i="21"/>
  <c r="D218" i="21"/>
  <c r="R217" i="21"/>
  <c r="U217" i="21" s="1"/>
  <c r="X217" i="21" s="1"/>
  <c r="Q217" i="21"/>
  <c r="P217" i="21"/>
  <c r="K217" i="21"/>
  <c r="D217" i="21"/>
  <c r="R216" i="21"/>
  <c r="Q216" i="21"/>
  <c r="P216" i="21"/>
  <c r="K216" i="21"/>
  <c r="D216" i="21"/>
  <c r="R215" i="21"/>
  <c r="U215" i="21" s="1"/>
  <c r="Q215" i="21"/>
  <c r="P215" i="21"/>
  <c r="K215" i="21"/>
  <c r="D215" i="21"/>
  <c r="R214" i="21"/>
  <c r="U214" i="21" s="1"/>
  <c r="Q214" i="21"/>
  <c r="P214" i="21"/>
  <c r="K214" i="21"/>
  <c r="D214" i="21"/>
  <c r="R213" i="21"/>
  <c r="Q213" i="21"/>
  <c r="P213" i="21"/>
  <c r="K213" i="21"/>
  <c r="D213" i="21"/>
  <c r="R212" i="21"/>
  <c r="Q212" i="21"/>
  <c r="P212" i="21"/>
  <c r="K212" i="21"/>
  <c r="D212" i="21"/>
  <c r="D211" i="21"/>
  <c r="Q210" i="21"/>
  <c r="P210" i="21"/>
  <c r="D210" i="21"/>
  <c r="Z209" i="21"/>
  <c r="Q209" i="21"/>
  <c r="P209" i="21"/>
  <c r="D209" i="21"/>
  <c r="Q208" i="21"/>
  <c r="P208" i="21"/>
  <c r="D208" i="21"/>
  <c r="Q207" i="21"/>
  <c r="P207" i="21"/>
  <c r="D207" i="21"/>
  <c r="Z206" i="21"/>
  <c r="Q206" i="21"/>
  <c r="P206" i="21"/>
  <c r="D206" i="21"/>
  <c r="Z205" i="21"/>
  <c r="Q205" i="21"/>
  <c r="P205" i="21"/>
  <c r="D205" i="21"/>
  <c r="Z204" i="21"/>
  <c r="Q204" i="21"/>
  <c r="P204" i="21"/>
  <c r="D204" i="21"/>
  <c r="Z203" i="21"/>
  <c r="Q203" i="21"/>
  <c r="P203" i="21"/>
  <c r="D203" i="21"/>
  <c r="Z202" i="21"/>
  <c r="Q202" i="21"/>
  <c r="P202" i="21"/>
  <c r="D202" i="21"/>
  <c r="Z201" i="21"/>
  <c r="Q201" i="21"/>
  <c r="P201" i="21"/>
  <c r="D201" i="21"/>
  <c r="Z200" i="21"/>
  <c r="Q200" i="21"/>
  <c r="P200" i="21"/>
  <c r="D200" i="21"/>
  <c r="Z199" i="21"/>
  <c r="Q199" i="21"/>
  <c r="P199" i="21"/>
  <c r="D199" i="21"/>
  <c r="Z198" i="21"/>
  <c r="Q198" i="21"/>
  <c r="P198" i="21"/>
  <c r="D198" i="21"/>
  <c r="Z197" i="21"/>
  <c r="Q197" i="21"/>
  <c r="P197" i="21"/>
  <c r="D197" i="21"/>
  <c r="Z196" i="21"/>
  <c r="Q196" i="21"/>
  <c r="P196" i="21"/>
  <c r="D196" i="21"/>
  <c r="Z195" i="21"/>
  <c r="Q195" i="21"/>
  <c r="P195" i="21"/>
  <c r="D195" i="21"/>
  <c r="Q194" i="21"/>
  <c r="P194" i="21"/>
  <c r="D194" i="21"/>
  <c r="Q193" i="21"/>
  <c r="P193" i="21"/>
  <c r="D193" i="21"/>
  <c r="Q192" i="21"/>
  <c r="P192" i="21"/>
  <c r="D192" i="21"/>
  <c r="Q191" i="21"/>
  <c r="P191" i="21"/>
  <c r="D191" i="21"/>
  <c r="Q190" i="21"/>
  <c r="P190" i="21"/>
  <c r="D190" i="21"/>
  <c r="Z189" i="21"/>
  <c r="Q189" i="21"/>
  <c r="P189" i="21"/>
  <c r="D189" i="21"/>
  <c r="Z188" i="21"/>
  <c r="Q188" i="21"/>
  <c r="P188" i="21"/>
  <c r="D188" i="21"/>
  <c r="Z187" i="21"/>
  <c r="Q187" i="21"/>
  <c r="P187" i="21"/>
  <c r="D187" i="21"/>
  <c r="Q186" i="21"/>
  <c r="P186" i="21"/>
  <c r="D186" i="21"/>
  <c r="Q185" i="21"/>
  <c r="P185" i="21"/>
  <c r="D185" i="21"/>
  <c r="Z184" i="21"/>
  <c r="Q184" i="21"/>
  <c r="P184" i="21"/>
  <c r="D184" i="21"/>
  <c r="Z183" i="21"/>
  <c r="Q183" i="21"/>
  <c r="P183" i="21"/>
  <c r="D183" i="21"/>
  <c r="Z182" i="21"/>
  <c r="Q182" i="21"/>
  <c r="P182" i="21"/>
  <c r="D182" i="21"/>
  <c r="Z181" i="21"/>
  <c r="Q181" i="21"/>
  <c r="P181" i="21"/>
  <c r="D181" i="21"/>
  <c r="Z180" i="21"/>
  <c r="Q180" i="21"/>
  <c r="P180" i="21"/>
  <c r="D180" i="21"/>
  <c r="Q179" i="21"/>
  <c r="P179" i="21"/>
  <c r="D179" i="21"/>
  <c r="Q178" i="21"/>
  <c r="P178" i="21"/>
  <c r="D178" i="21"/>
  <c r="Q177" i="21"/>
  <c r="P177" i="21"/>
  <c r="D177" i="21"/>
  <c r="Q176" i="21"/>
  <c r="P176" i="21"/>
  <c r="D176" i="21"/>
  <c r="Q175" i="21"/>
  <c r="P175" i="21"/>
  <c r="D175" i="21"/>
  <c r="Q174" i="21"/>
  <c r="P174" i="21"/>
  <c r="D174" i="21"/>
  <c r="Q173" i="21"/>
  <c r="P173" i="21"/>
  <c r="D173" i="21"/>
  <c r="Q172" i="21"/>
  <c r="P172" i="21"/>
  <c r="D172" i="21"/>
  <c r="Q171" i="21"/>
  <c r="P171" i="21"/>
  <c r="D171" i="21"/>
  <c r="Q170" i="21"/>
  <c r="P170" i="21"/>
  <c r="D170" i="21"/>
  <c r="Q169" i="21"/>
  <c r="P169" i="21"/>
  <c r="D169" i="21"/>
  <c r="Q168" i="21"/>
  <c r="P168" i="21"/>
  <c r="D168" i="21"/>
  <c r="Q167" i="21"/>
  <c r="P167" i="21"/>
  <c r="D167" i="21"/>
  <c r="Q166" i="21"/>
  <c r="P166" i="21"/>
  <c r="D166" i="21"/>
  <c r="Q165" i="21"/>
  <c r="P165" i="21"/>
  <c r="D165" i="21"/>
  <c r="Z164" i="21"/>
  <c r="Q164" i="21"/>
  <c r="P164" i="21"/>
  <c r="D164" i="21"/>
  <c r="R163" i="21"/>
  <c r="Q163" i="21"/>
  <c r="P163" i="21"/>
  <c r="K163" i="21"/>
  <c r="D163" i="21"/>
  <c r="Z162" i="21"/>
  <c r="Q162" i="21"/>
  <c r="P162" i="21"/>
  <c r="D162" i="21"/>
  <c r="Z161" i="21"/>
  <c r="Q161" i="21"/>
  <c r="P161" i="21"/>
  <c r="D161" i="21"/>
  <c r="Z160" i="21"/>
  <c r="Q160" i="21"/>
  <c r="P160" i="21"/>
  <c r="D160" i="21"/>
  <c r="Z159" i="21"/>
  <c r="Q159" i="21"/>
  <c r="P159" i="21"/>
  <c r="D159" i="21"/>
  <c r="Z158" i="21"/>
  <c r="Q158" i="21"/>
  <c r="P158" i="21"/>
  <c r="D158" i="21"/>
  <c r="Z157" i="21"/>
  <c r="Q157" i="21"/>
  <c r="P157" i="21"/>
  <c r="D157" i="21"/>
  <c r="Z156" i="21"/>
  <c r="Q156" i="21"/>
  <c r="P156" i="21"/>
  <c r="D156" i="21"/>
  <c r="Z155" i="21"/>
  <c r="Q155" i="21"/>
  <c r="P155" i="21"/>
  <c r="D155" i="21"/>
  <c r="Z154" i="21"/>
  <c r="Q154" i="21"/>
  <c r="P154" i="21"/>
  <c r="D154" i="21"/>
  <c r="Z153" i="21"/>
  <c r="Q153" i="21"/>
  <c r="P153" i="21"/>
  <c r="D153" i="21"/>
  <c r="Z152" i="21"/>
  <c r="Q152" i="21"/>
  <c r="P152" i="21"/>
  <c r="D152" i="21"/>
  <c r="Z151" i="21"/>
  <c r="Q151" i="21"/>
  <c r="P151" i="21"/>
  <c r="D151" i="21"/>
  <c r="Z150" i="21"/>
  <c r="Q150" i="21"/>
  <c r="P150" i="21"/>
  <c r="D150" i="21"/>
  <c r="Q149" i="21"/>
  <c r="P149" i="21"/>
  <c r="D149" i="21"/>
  <c r="R148" i="21"/>
  <c r="Q148" i="21"/>
  <c r="P148" i="21"/>
  <c r="K148" i="21"/>
  <c r="D148" i="21"/>
  <c r="R147" i="21"/>
  <c r="Q147" i="21"/>
  <c r="P147" i="21"/>
  <c r="K147" i="21"/>
  <c r="D147" i="21"/>
  <c r="R146" i="21"/>
  <c r="U146" i="21" s="1"/>
  <c r="Q146" i="21"/>
  <c r="P146" i="21"/>
  <c r="K146" i="21"/>
  <c r="D146" i="21"/>
  <c r="R145" i="21"/>
  <c r="Q145" i="21"/>
  <c r="P145" i="21"/>
  <c r="K145" i="21"/>
  <c r="D145" i="21"/>
  <c r="R144" i="21"/>
  <c r="Q144" i="21"/>
  <c r="P144" i="21"/>
  <c r="K144" i="21"/>
  <c r="D144" i="21"/>
  <c r="R143" i="21"/>
  <c r="Q143" i="21"/>
  <c r="P143" i="21"/>
  <c r="K143" i="21"/>
  <c r="D143" i="21"/>
  <c r="R142" i="21"/>
  <c r="U142" i="21" s="1"/>
  <c r="Q142" i="21"/>
  <c r="P142" i="21"/>
  <c r="K142" i="21"/>
  <c r="D142" i="21"/>
  <c r="R141" i="21"/>
  <c r="U141" i="21" s="1"/>
  <c r="Q141" i="21"/>
  <c r="P141" i="21"/>
  <c r="K141" i="21"/>
  <c r="D141" i="21"/>
  <c r="Q140" i="21"/>
  <c r="P140" i="21"/>
  <c r="D140" i="21"/>
  <c r="Q139" i="21"/>
  <c r="P139" i="21"/>
  <c r="D139" i="21"/>
  <c r="AB138" i="21"/>
  <c r="AA138" i="21"/>
  <c r="Y138" i="21"/>
  <c r="X138" i="21"/>
  <c r="V138" i="21"/>
  <c r="U138" i="21"/>
  <c r="S138" i="21"/>
  <c r="R138" i="21"/>
  <c r="Q138" i="21"/>
  <c r="P138" i="21"/>
  <c r="D138" i="21"/>
  <c r="AB137" i="21"/>
  <c r="AA137" i="21"/>
  <c r="Y137" i="21"/>
  <c r="X137" i="21"/>
  <c r="V137" i="21"/>
  <c r="U137" i="21"/>
  <c r="S137" i="21"/>
  <c r="R137" i="21"/>
  <c r="Q137" i="21"/>
  <c r="P137" i="21"/>
  <c r="D137" i="21"/>
  <c r="AB136" i="21"/>
  <c r="AA136" i="21"/>
  <c r="Y136" i="21"/>
  <c r="X136" i="21"/>
  <c r="V136" i="21"/>
  <c r="U136" i="21"/>
  <c r="S136" i="21"/>
  <c r="R136" i="21"/>
  <c r="Q136" i="21"/>
  <c r="P136" i="21"/>
  <c r="D136" i="21"/>
  <c r="AB135" i="21"/>
  <c r="AA135" i="21"/>
  <c r="Y135" i="21"/>
  <c r="X135" i="21"/>
  <c r="V135" i="21"/>
  <c r="U135" i="21"/>
  <c r="S135" i="21"/>
  <c r="R135" i="21"/>
  <c r="Q135" i="21"/>
  <c r="P135" i="21"/>
  <c r="D135" i="21"/>
  <c r="AB134" i="21"/>
  <c r="AA134" i="21"/>
  <c r="Y134" i="21"/>
  <c r="X134" i="21"/>
  <c r="V134" i="21"/>
  <c r="U134" i="21"/>
  <c r="S134" i="21"/>
  <c r="R134" i="21"/>
  <c r="Q134" i="21"/>
  <c r="P134" i="21"/>
  <c r="D134" i="21"/>
  <c r="AB133" i="21"/>
  <c r="AA133" i="21"/>
  <c r="Y133" i="21"/>
  <c r="X133" i="21"/>
  <c r="V133" i="21"/>
  <c r="U133" i="21"/>
  <c r="S133" i="21"/>
  <c r="R133" i="21"/>
  <c r="Q133" i="21"/>
  <c r="P133" i="21"/>
  <c r="D133" i="21"/>
  <c r="AB132" i="21"/>
  <c r="AA132" i="21"/>
  <c r="Y132" i="21"/>
  <c r="X132" i="21"/>
  <c r="V132" i="21"/>
  <c r="U132" i="21"/>
  <c r="S132" i="21"/>
  <c r="R132" i="21"/>
  <c r="Q132" i="21"/>
  <c r="P132" i="21"/>
  <c r="D132" i="21"/>
  <c r="AB131" i="21"/>
  <c r="AA131" i="21"/>
  <c r="Y131" i="21"/>
  <c r="X131" i="21"/>
  <c r="V131" i="21"/>
  <c r="U131" i="21"/>
  <c r="S131" i="21"/>
  <c r="R131" i="21"/>
  <c r="Q131" i="21"/>
  <c r="P131" i="21"/>
  <c r="D131" i="21"/>
  <c r="AB130" i="21"/>
  <c r="AA130" i="21"/>
  <c r="Y130" i="21"/>
  <c r="X130" i="21"/>
  <c r="V130" i="21"/>
  <c r="U130" i="21"/>
  <c r="S130" i="21"/>
  <c r="R130" i="21"/>
  <c r="Q130" i="21"/>
  <c r="P130" i="21"/>
  <c r="D130" i="21"/>
  <c r="AB129" i="21"/>
  <c r="AA129" i="21"/>
  <c r="Y129" i="21"/>
  <c r="X129" i="21"/>
  <c r="V129" i="21"/>
  <c r="U129" i="21"/>
  <c r="S129" i="21"/>
  <c r="R129" i="21"/>
  <c r="Q129" i="21"/>
  <c r="P129" i="21"/>
  <c r="D129" i="21"/>
  <c r="AB128" i="21"/>
  <c r="AA128" i="21"/>
  <c r="Y128" i="21"/>
  <c r="X128" i="21"/>
  <c r="V128" i="21"/>
  <c r="U128" i="21"/>
  <c r="S128" i="21"/>
  <c r="R128" i="21"/>
  <c r="Q128" i="21"/>
  <c r="P128" i="21"/>
  <c r="K128" i="21"/>
  <c r="D128" i="21"/>
  <c r="AB127" i="21"/>
  <c r="AA127" i="21"/>
  <c r="Y127" i="21"/>
  <c r="X127" i="21"/>
  <c r="V127" i="21"/>
  <c r="U127" i="21"/>
  <c r="S127" i="21"/>
  <c r="R127" i="21"/>
  <c r="Q127" i="21"/>
  <c r="P127" i="21"/>
  <c r="K127" i="21"/>
  <c r="D127" i="21"/>
  <c r="AB126" i="21"/>
  <c r="AA126" i="21"/>
  <c r="Y126" i="21"/>
  <c r="X126" i="21"/>
  <c r="V126" i="21"/>
  <c r="U126" i="21"/>
  <c r="S126" i="21"/>
  <c r="R126" i="21"/>
  <c r="Q126" i="21"/>
  <c r="P126" i="21"/>
  <c r="K126" i="21"/>
  <c r="D126" i="21"/>
  <c r="AB125" i="21"/>
  <c r="AA125" i="21"/>
  <c r="Y125" i="21"/>
  <c r="X125" i="21"/>
  <c r="V125" i="21"/>
  <c r="U125" i="21"/>
  <c r="S125" i="21"/>
  <c r="R125" i="21"/>
  <c r="Q125" i="21"/>
  <c r="P125" i="21"/>
  <c r="K125" i="21"/>
  <c r="D125" i="21"/>
  <c r="AB124" i="21"/>
  <c r="AA124" i="21"/>
  <c r="Y124" i="21"/>
  <c r="X124" i="21"/>
  <c r="V124" i="21"/>
  <c r="U124" i="21"/>
  <c r="S124" i="21"/>
  <c r="R124" i="21"/>
  <c r="Q124" i="21"/>
  <c r="P124" i="21"/>
  <c r="K124" i="21"/>
  <c r="D124" i="21"/>
  <c r="AB123" i="21"/>
  <c r="AA123" i="21"/>
  <c r="Y123" i="21"/>
  <c r="X123" i="21"/>
  <c r="V123" i="21"/>
  <c r="U123" i="21"/>
  <c r="S123" i="21"/>
  <c r="R123" i="21"/>
  <c r="Q123" i="21"/>
  <c r="P123" i="21"/>
  <c r="K123" i="21"/>
  <c r="D123" i="21"/>
  <c r="AB122" i="21"/>
  <c r="AA122" i="21"/>
  <c r="Y122" i="21"/>
  <c r="X122" i="21"/>
  <c r="V122" i="21"/>
  <c r="U122" i="21"/>
  <c r="S122" i="21"/>
  <c r="R122" i="21"/>
  <c r="Q122" i="21"/>
  <c r="P122" i="21"/>
  <c r="D122" i="21"/>
  <c r="AB121" i="21"/>
  <c r="AA121" i="21"/>
  <c r="Y121" i="21"/>
  <c r="X121" i="21"/>
  <c r="V121" i="21"/>
  <c r="U121" i="21"/>
  <c r="S121" i="21"/>
  <c r="R121" i="21"/>
  <c r="Q121" i="21"/>
  <c r="P121" i="21"/>
  <c r="D121" i="21"/>
  <c r="AB120" i="21"/>
  <c r="AA120" i="21"/>
  <c r="Y120" i="21"/>
  <c r="X120" i="21"/>
  <c r="V120" i="21"/>
  <c r="U120" i="21"/>
  <c r="S120" i="21"/>
  <c r="R120" i="21"/>
  <c r="Q120" i="21"/>
  <c r="P120" i="21"/>
  <c r="D120" i="21"/>
  <c r="AB119" i="21"/>
  <c r="AA119" i="21"/>
  <c r="Y119" i="21"/>
  <c r="X119" i="21"/>
  <c r="V119" i="21"/>
  <c r="U119" i="21"/>
  <c r="S119" i="21"/>
  <c r="R119" i="21"/>
  <c r="Q119" i="21"/>
  <c r="P119" i="21"/>
  <c r="D119" i="21"/>
  <c r="AB118" i="21"/>
  <c r="AA118" i="21"/>
  <c r="Y118" i="21"/>
  <c r="X118" i="21"/>
  <c r="V118" i="21"/>
  <c r="U118" i="21"/>
  <c r="S118" i="21"/>
  <c r="R118" i="21"/>
  <c r="Q118" i="21"/>
  <c r="P118" i="21"/>
  <c r="D118" i="21"/>
  <c r="AB117" i="21"/>
  <c r="AA117" i="21"/>
  <c r="Y117" i="21"/>
  <c r="X117" i="21"/>
  <c r="V117" i="21"/>
  <c r="U117" i="21"/>
  <c r="S117" i="21"/>
  <c r="R117" i="21"/>
  <c r="Q117" i="21"/>
  <c r="P117" i="21"/>
  <c r="D117" i="21"/>
  <c r="AB116" i="21"/>
  <c r="AA116" i="21"/>
  <c r="Y116" i="21"/>
  <c r="X116" i="21"/>
  <c r="V116" i="21"/>
  <c r="U116" i="21"/>
  <c r="S116" i="21"/>
  <c r="R116" i="21"/>
  <c r="Q116" i="21"/>
  <c r="P116" i="21"/>
  <c r="K116" i="21"/>
  <c r="D116" i="21"/>
  <c r="AB115" i="21"/>
  <c r="AA115" i="21"/>
  <c r="Y115" i="21"/>
  <c r="X115" i="21"/>
  <c r="V115" i="21"/>
  <c r="U115" i="21"/>
  <c r="S115" i="21"/>
  <c r="R115" i="21"/>
  <c r="Q115" i="21"/>
  <c r="P115" i="21"/>
  <c r="K115" i="21"/>
  <c r="D115" i="21"/>
  <c r="AB114" i="21"/>
  <c r="AA114" i="21"/>
  <c r="Y114" i="21"/>
  <c r="X114" i="21"/>
  <c r="V114" i="21"/>
  <c r="U114" i="21"/>
  <c r="S114" i="21"/>
  <c r="R114" i="21"/>
  <c r="Q114" i="21"/>
  <c r="P114" i="21"/>
  <c r="K114" i="21"/>
  <c r="D114" i="21"/>
  <c r="AB113" i="21"/>
  <c r="AA113" i="21"/>
  <c r="Y113" i="21"/>
  <c r="X113" i="21"/>
  <c r="V113" i="21"/>
  <c r="U113" i="21"/>
  <c r="S113" i="21"/>
  <c r="R113" i="21"/>
  <c r="Q113" i="21"/>
  <c r="P113" i="21"/>
  <c r="K113" i="21"/>
  <c r="D113" i="21"/>
  <c r="AB112" i="21"/>
  <c r="AA112" i="21"/>
  <c r="Y112" i="21"/>
  <c r="X112" i="21"/>
  <c r="V112" i="21"/>
  <c r="U112" i="21"/>
  <c r="S112" i="21"/>
  <c r="R112" i="21"/>
  <c r="Q112" i="21"/>
  <c r="P112" i="21"/>
  <c r="K112" i="21"/>
  <c r="D112" i="21"/>
  <c r="AB111" i="21"/>
  <c r="AA111" i="21"/>
  <c r="Y111" i="21"/>
  <c r="X111" i="21"/>
  <c r="V111" i="21"/>
  <c r="U111" i="21"/>
  <c r="S111" i="21"/>
  <c r="R111" i="21"/>
  <c r="Q111" i="21"/>
  <c r="P111" i="21"/>
  <c r="K111" i="21"/>
  <c r="D111" i="21"/>
  <c r="AB110" i="21"/>
  <c r="AA110" i="21"/>
  <c r="Y110" i="21"/>
  <c r="X110" i="21"/>
  <c r="V110" i="21"/>
  <c r="U110" i="21"/>
  <c r="S110" i="21"/>
  <c r="R110" i="21"/>
  <c r="Q110" i="21"/>
  <c r="P110" i="21"/>
  <c r="D110" i="21"/>
  <c r="AB109" i="21"/>
  <c r="AA109" i="21"/>
  <c r="Y109" i="21"/>
  <c r="X109" i="21"/>
  <c r="V109" i="21"/>
  <c r="U109" i="21"/>
  <c r="S109" i="21"/>
  <c r="R109" i="21"/>
  <c r="Q109" i="21"/>
  <c r="P109" i="21"/>
  <c r="D109" i="21"/>
  <c r="AB108" i="21"/>
  <c r="AA108" i="21"/>
  <c r="Y108" i="21"/>
  <c r="X108" i="21"/>
  <c r="V108" i="21"/>
  <c r="U108" i="21"/>
  <c r="S108" i="21"/>
  <c r="R108" i="21"/>
  <c r="Q108" i="21"/>
  <c r="P108" i="21"/>
  <c r="K108" i="21"/>
  <c r="D108" i="21"/>
  <c r="AB107" i="21"/>
  <c r="AA107" i="21"/>
  <c r="Y107" i="21"/>
  <c r="X107" i="21"/>
  <c r="V107" i="21"/>
  <c r="U107" i="21"/>
  <c r="S107" i="21"/>
  <c r="R107" i="21"/>
  <c r="Q107" i="21"/>
  <c r="P107" i="21"/>
  <c r="K107" i="21"/>
  <c r="D107" i="21"/>
  <c r="AB106" i="21"/>
  <c r="AA106" i="21"/>
  <c r="Y106" i="21"/>
  <c r="X106" i="21"/>
  <c r="V106" i="21"/>
  <c r="U106" i="21"/>
  <c r="S106" i="21"/>
  <c r="R106" i="21"/>
  <c r="Q106" i="21"/>
  <c r="P106" i="21"/>
  <c r="K106" i="21"/>
  <c r="D106" i="21"/>
  <c r="AB105" i="21"/>
  <c r="AA105" i="21"/>
  <c r="Y105" i="21"/>
  <c r="X105" i="21"/>
  <c r="V105" i="21"/>
  <c r="U105" i="21"/>
  <c r="S105" i="21"/>
  <c r="R105" i="21"/>
  <c r="Q105" i="21"/>
  <c r="P105" i="21"/>
  <c r="K105" i="21"/>
  <c r="D105" i="21"/>
  <c r="AB104" i="21"/>
  <c r="AA104" i="21"/>
  <c r="Y104" i="21"/>
  <c r="X104" i="21"/>
  <c r="V104" i="21"/>
  <c r="U104" i="21"/>
  <c r="S104" i="21"/>
  <c r="R104" i="21"/>
  <c r="Q104" i="21"/>
  <c r="P104" i="21"/>
  <c r="K104" i="21"/>
  <c r="D104" i="21"/>
  <c r="AB103" i="21"/>
  <c r="AA103" i="21"/>
  <c r="Y103" i="21"/>
  <c r="X103" i="21"/>
  <c r="V103" i="21"/>
  <c r="U103" i="21"/>
  <c r="S103" i="21"/>
  <c r="R103" i="21"/>
  <c r="Q103" i="21"/>
  <c r="P103" i="21"/>
  <c r="D103" i="21"/>
  <c r="AB102" i="21"/>
  <c r="AA102" i="21"/>
  <c r="Y102" i="21"/>
  <c r="X102" i="21"/>
  <c r="V102" i="21"/>
  <c r="U102" i="21"/>
  <c r="S102" i="21"/>
  <c r="R102" i="21"/>
  <c r="Q102" i="21"/>
  <c r="P102" i="21"/>
  <c r="D102" i="21"/>
  <c r="AB101" i="21"/>
  <c r="AA101" i="21"/>
  <c r="Y101" i="21"/>
  <c r="X101" i="21"/>
  <c r="V101" i="21"/>
  <c r="U101" i="21"/>
  <c r="S101" i="21"/>
  <c r="R101" i="21"/>
  <c r="Q101" i="21"/>
  <c r="P101" i="21"/>
  <c r="D101" i="21"/>
  <c r="AB100" i="21"/>
  <c r="AA100" i="21"/>
  <c r="Y100" i="21"/>
  <c r="X100" i="21"/>
  <c r="V100" i="21"/>
  <c r="U100" i="21"/>
  <c r="S100" i="21"/>
  <c r="R100" i="21"/>
  <c r="Q100" i="21"/>
  <c r="P100" i="21"/>
  <c r="D100" i="21"/>
  <c r="AB99" i="21"/>
  <c r="AA99" i="21"/>
  <c r="Y99" i="21"/>
  <c r="X99" i="21"/>
  <c r="V99" i="21"/>
  <c r="U99" i="21"/>
  <c r="S99" i="21"/>
  <c r="R99" i="21"/>
  <c r="Q99" i="21"/>
  <c r="P99" i="21"/>
  <c r="D99" i="21"/>
  <c r="AB98" i="21"/>
  <c r="AA98" i="21"/>
  <c r="Y98" i="21"/>
  <c r="X98" i="21"/>
  <c r="V98" i="21"/>
  <c r="U98" i="21"/>
  <c r="S98" i="21"/>
  <c r="R98" i="21"/>
  <c r="Q98" i="21"/>
  <c r="P98" i="21"/>
  <c r="D98" i="21"/>
  <c r="AB97" i="21"/>
  <c r="AA97" i="21"/>
  <c r="Y97" i="21"/>
  <c r="X97" i="21"/>
  <c r="V97" i="21"/>
  <c r="U97" i="21"/>
  <c r="S97" i="21"/>
  <c r="R97" i="21"/>
  <c r="Q97" i="21"/>
  <c r="P97" i="21"/>
  <c r="D97" i="21"/>
  <c r="AB96" i="21"/>
  <c r="AA96" i="21"/>
  <c r="Y96" i="21"/>
  <c r="X96" i="21"/>
  <c r="V96" i="21"/>
  <c r="U96" i="21"/>
  <c r="S96" i="21"/>
  <c r="R96" i="21"/>
  <c r="Q96" i="21"/>
  <c r="P96" i="21"/>
  <c r="D96" i="21"/>
  <c r="AB95" i="21"/>
  <c r="AA95" i="21"/>
  <c r="Y95" i="21"/>
  <c r="X95" i="21"/>
  <c r="V95" i="21"/>
  <c r="U95" i="21"/>
  <c r="S95" i="21"/>
  <c r="R95" i="21"/>
  <c r="Q95" i="21"/>
  <c r="P95" i="21"/>
  <c r="D95" i="21"/>
  <c r="AB94" i="21"/>
  <c r="AA94" i="21"/>
  <c r="Y94" i="21"/>
  <c r="X94" i="21"/>
  <c r="V94" i="21"/>
  <c r="U94" i="21"/>
  <c r="S94" i="21"/>
  <c r="R94" i="21"/>
  <c r="Q94" i="21"/>
  <c r="P94" i="21"/>
  <c r="D94" i="21"/>
  <c r="AB93" i="21"/>
  <c r="AA93" i="21"/>
  <c r="Y93" i="21"/>
  <c r="X93" i="21"/>
  <c r="V93" i="21"/>
  <c r="U93" i="21"/>
  <c r="S93" i="21"/>
  <c r="R93" i="21"/>
  <c r="Q93" i="21"/>
  <c r="P93" i="21"/>
  <c r="D93" i="21"/>
  <c r="AB92" i="21"/>
  <c r="AA92" i="21"/>
  <c r="Y92" i="21"/>
  <c r="X92" i="21"/>
  <c r="V92" i="21"/>
  <c r="U92" i="21"/>
  <c r="S92" i="21"/>
  <c r="R92" i="21"/>
  <c r="Q92" i="21"/>
  <c r="P92" i="21"/>
  <c r="D92" i="21"/>
  <c r="AB91" i="21"/>
  <c r="AA91" i="21"/>
  <c r="Y91" i="21"/>
  <c r="X91" i="21"/>
  <c r="V91" i="21"/>
  <c r="U91" i="21"/>
  <c r="S91" i="21"/>
  <c r="R91" i="21"/>
  <c r="Q91" i="21"/>
  <c r="P91" i="21"/>
  <c r="D91" i="21"/>
  <c r="AB90" i="21"/>
  <c r="AA90" i="21"/>
  <c r="Y90" i="21"/>
  <c r="X90" i="21"/>
  <c r="V90" i="21"/>
  <c r="U90" i="21"/>
  <c r="S90" i="21"/>
  <c r="R90" i="21"/>
  <c r="Q90" i="21"/>
  <c r="P90" i="21"/>
  <c r="D90" i="21"/>
  <c r="AB89" i="21"/>
  <c r="AA89" i="21"/>
  <c r="Y89" i="21"/>
  <c r="X89" i="21"/>
  <c r="V89" i="21"/>
  <c r="U89" i="21"/>
  <c r="S89" i="21"/>
  <c r="R89" i="21"/>
  <c r="Q89" i="21"/>
  <c r="P89" i="21"/>
  <c r="D89" i="21"/>
  <c r="AB88" i="21"/>
  <c r="AA88" i="21"/>
  <c r="Y88" i="21"/>
  <c r="X88" i="21"/>
  <c r="V88" i="21"/>
  <c r="U88" i="21"/>
  <c r="S88" i="21"/>
  <c r="R88" i="21"/>
  <c r="Q88" i="21"/>
  <c r="P88" i="21"/>
  <c r="D88" i="21"/>
  <c r="AB87" i="21"/>
  <c r="AA87" i="21"/>
  <c r="Y87" i="21"/>
  <c r="X87" i="21"/>
  <c r="V87" i="21"/>
  <c r="U87" i="21"/>
  <c r="S87" i="21"/>
  <c r="R87" i="21"/>
  <c r="Q87" i="21"/>
  <c r="P87" i="21"/>
  <c r="D87" i="21"/>
  <c r="AB86" i="21"/>
  <c r="AA86" i="21"/>
  <c r="Y86" i="21"/>
  <c r="X86" i="21"/>
  <c r="V86" i="21"/>
  <c r="U86" i="21"/>
  <c r="S86" i="21"/>
  <c r="R86" i="21"/>
  <c r="Q86" i="21"/>
  <c r="P86" i="21"/>
  <c r="D86" i="21"/>
  <c r="AB85" i="21"/>
  <c r="AA85" i="21"/>
  <c r="Y85" i="21"/>
  <c r="X85" i="21"/>
  <c r="V85" i="21"/>
  <c r="U85" i="21"/>
  <c r="S85" i="21"/>
  <c r="R85" i="21"/>
  <c r="Q85" i="21"/>
  <c r="P85" i="21"/>
  <c r="D85" i="21"/>
  <c r="AB84" i="21"/>
  <c r="AA84" i="21"/>
  <c r="Y84" i="21"/>
  <c r="X84" i="21"/>
  <c r="V84" i="21"/>
  <c r="U84" i="21"/>
  <c r="S84" i="21"/>
  <c r="R84" i="21"/>
  <c r="Q84" i="21"/>
  <c r="P84" i="21"/>
  <c r="D84" i="21"/>
  <c r="AB83" i="21"/>
  <c r="AA83" i="21"/>
  <c r="Y83" i="21"/>
  <c r="X83" i="21"/>
  <c r="V83" i="21"/>
  <c r="U83" i="21"/>
  <c r="S83" i="21"/>
  <c r="R83" i="21"/>
  <c r="Q83" i="21"/>
  <c r="P83" i="21"/>
  <c r="D83" i="21"/>
  <c r="AB82" i="21"/>
  <c r="AA82" i="21"/>
  <c r="Y82" i="21"/>
  <c r="X82" i="21"/>
  <c r="V82" i="21"/>
  <c r="U82" i="21"/>
  <c r="S82" i="21"/>
  <c r="R82" i="21"/>
  <c r="Q82" i="21"/>
  <c r="P82" i="21"/>
  <c r="D82" i="21"/>
  <c r="AB81" i="21"/>
  <c r="AA81" i="21"/>
  <c r="Y81" i="21"/>
  <c r="X81" i="21"/>
  <c r="V81" i="21"/>
  <c r="U81" i="21"/>
  <c r="S81" i="21"/>
  <c r="R81" i="21"/>
  <c r="Q81" i="21"/>
  <c r="P81" i="21"/>
  <c r="D81" i="21"/>
  <c r="AB80" i="21"/>
  <c r="AA80" i="21"/>
  <c r="Y80" i="21"/>
  <c r="X80" i="21"/>
  <c r="V80" i="21"/>
  <c r="U80" i="21"/>
  <c r="S80" i="21"/>
  <c r="R80" i="21"/>
  <c r="Q80" i="21"/>
  <c r="P80" i="21"/>
  <c r="D80" i="21"/>
  <c r="AB79" i="21"/>
  <c r="AA79" i="21"/>
  <c r="Y79" i="21"/>
  <c r="X79" i="21"/>
  <c r="V79" i="21"/>
  <c r="U79" i="21"/>
  <c r="S79" i="21"/>
  <c r="R79" i="21"/>
  <c r="Q79" i="21"/>
  <c r="P79" i="21"/>
  <c r="D79" i="21"/>
  <c r="AB78" i="21"/>
  <c r="AA78" i="21"/>
  <c r="Y78" i="21"/>
  <c r="X78" i="21"/>
  <c r="V78" i="21"/>
  <c r="U78" i="21"/>
  <c r="S78" i="21"/>
  <c r="R78" i="21"/>
  <c r="Q78" i="21"/>
  <c r="P78" i="21"/>
  <c r="D78" i="21"/>
  <c r="AB77" i="21"/>
  <c r="AA77" i="21"/>
  <c r="Y77" i="21"/>
  <c r="X77" i="21"/>
  <c r="V77" i="21"/>
  <c r="U77" i="21"/>
  <c r="S77" i="21"/>
  <c r="R77" i="21"/>
  <c r="Q77" i="21"/>
  <c r="P77" i="21"/>
  <c r="D77" i="21"/>
  <c r="AB76" i="21"/>
  <c r="AA76" i="21"/>
  <c r="Y76" i="21"/>
  <c r="X76" i="21"/>
  <c r="V76" i="21"/>
  <c r="U76" i="21"/>
  <c r="S76" i="21"/>
  <c r="R76" i="21"/>
  <c r="Q76" i="21"/>
  <c r="P76" i="21"/>
  <c r="D76" i="21"/>
  <c r="AB75" i="21"/>
  <c r="AA75" i="21"/>
  <c r="Y75" i="21"/>
  <c r="X75" i="21"/>
  <c r="V75" i="21"/>
  <c r="U75" i="21"/>
  <c r="S75" i="21"/>
  <c r="R75" i="21"/>
  <c r="Q75" i="21"/>
  <c r="P75" i="21"/>
  <c r="D75" i="21"/>
  <c r="AB74" i="21"/>
  <c r="AA74" i="21"/>
  <c r="Y74" i="21"/>
  <c r="X74" i="21"/>
  <c r="V74" i="21"/>
  <c r="U74" i="21"/>
  <c r="S74" i="21"/>
  <c r="R74" i="21"/>
  <c r="Q74" i="21"/>
  <c r="P74" i="21"/>
  <c r="D74" i="21"/>
  <c r="AB73" i="21"/>
  <c r="AA73" i="21"/>
  <c r="Y73" i="21"/>
  <c r="X73" i="21"/>
  <c r="V73" i="21"/>
  <c r="U73" i="21"/>
  <c r="S73" i="21"/>
  <c r="R73" i="21"/>
  <c r="Q73" i="21"/>
  <c r="P73" i="21"/>
  <c r="D73" i="21"/>
  <c r="AB72" i="21"/>
  <c r="AA72" i="21"/>
  <c r="Y72" i="21"/>
  <c r="X72" i="21"/>
  <c r="V72" i="21"/>
  <c r="U72" i="21"/>
  <c r="S72" i="21"/>
  <c r="R72" i="21"/>
  <c r="Q72" i="21"/>
  <c r="P72" i="21"/>
  <c r="D72" i="21"/>
  <c r="AB71" i="21"/>
  <c r="AA71" i="21"/>
  <c r="Y71" i="21"/>
  <c r="X71" i="21"/>
  <c r="V71" i="21"/>
  <c r="U71" i="21"/>
  <c r="S71" i="21"/>
  <c r="R71" i="21"/>
  <c r="Q71" i="21"/>
  <c r="P71" i="21"/>
  <c r="D71" i="21"/>
  <c r="AB70" i="21"/>
  <c r="AA70" i="21"/>
  <c r="Y70" i="21"/>
  <c r="X70" i="21"/>
  <c r="V70" i="21"/>
  <c r="U70" i="21"/>
  <c r="S70" i="21"/>
  <c r="R70" i="21"/>
  <c r="Q70" i="21"/>
  <c r="P70" i="21"/>
  <c r="D70" i="21"/>
  <c r="AB69" i="21"/>
  <c r="AA69" i="21"/>
  <c r="Y69" i="21"/>
  <c r="X69" i="21"/>
  <c r="V69" i="21"/>
  <c r="U69" i="21"/>
  <c r="S69" i="21"/>
  <c r="R69" i="21"/>
  <c r="Q69" i="21"/>
  <c r="P69" i="21"/>
  <c r="D69" i="21"/>
  <c r="AB68" i="21"/>
  <c r="AA68" i="21"/>
  <c r="Y68" i="21"/>
  <c r="X68" i="21"/>
  <c r="V68" i="21"/>
  <c r="U68" i="21"/>
  <c r="S68" i="21"/>
  <c r="R68" i="21"/>
  <c r="Q68" i="21"/>
  <c r="P68" i="21"/>
  <c r="D68" i="21"/>
  <c r="AB67" i="21"/>
  <c r="AA67" i="21"/>
  <c r="Y67" i="21"/>
  <c r="X67" i="21"/>
  <c r="V67" i="21"/>
  <c r="U67" i="21"/>
  <c r="S67" i="21"/>
  <c r="R67" i="21"/>
  <c r="Q67" i="21"/>
  <c r="P67" i="21"/>
  <c r="D67" i="21"/>
  <c r="AB66" i="21"/>
  <c r="AA66" i="21"/>
  <c r="Y66" i="21"/>
  <c r="X66" i="21"/>
  <c r="V66" i="21"/>
  <c r="U66" i="21"/>
  <c r="S66" i="21"/>
  <c r="R66" i="21"/>
  <c r="Q66" i="21"/>
  <c r="P66" i="21"/>
  <c r="D66" i="21"/>
  <c r="AB65" i="21"/>
  <c r="AA65" i="21"/>
  <c r="Y65" i="21"/>
  <c r="X65" i="21"/>
  <c r="V65" i="21"/>
  <c r="U65" i="21"/>
  <c r="S65" i="21"/>
  <c r="R65" i="21"/>
  <c r="Q65" i="21"/>
  <c r="P65" i="21"/>
  <c r="D65" i="21"/>
  <c r="AB64" i="21"/>
  <c r="AA64" i="21"/>
  <c r="Y64" i="21"/>
  <c r="X64" i="21"/>
  <c r="V64" i="21"/>
  <c r="U64" i="21"/>
  <c r="S64" i="21"/>
  <c r="R64" i="21"/>
  <c r="Q64" i="21"/>
  <c r="P64" i="21"/>
  <c r="D64" i="21"/>
  <c r="AB63" i="21"/>
  <c r="AA63" i="21"/>
  <c r="Y63" i="21"/>
  <c r="X63" i="21"/>
  <c r="V63" i="21"/>
  <c r="U63" i="21"/>
  <c r="S63" i="21"/>
  <c r="R63" i="21"/>
  <c r="Q63" i="21"/>
  <c r="P63" i="21"/>
  <c r="D63" i="21"/>
  <c r="AB62" i="21"/>
  <c r="AA62" i="21"/>
  <c r="Y62" i="21"/>
  <c r="X62" i="21"/>
  <c r="V62" i="21"/>
  <c r="U62" i="21"/>
  <c r="S62" i="21"/>
  <c r="R62" i="21"/>
  <c r="Q62" i="21"/>
  <c r="P62" i="21"/>
  <c r="D62" i="21"/>
  <c r="AB61" i="21"/>
  <c r="AA61" i="21"/>
  <c r="Y61" i="21"/>
  <c r="X61" i="21"/>
  <c r="V61" i="21"/>
  <c r="U61" i="21"/>
  <c r="S61" i="21"/>
  <c r="R61" i="21"/>
  <c r="Q61" i="21"/>
  <c r="P61" i="21"/>
  <c r="D61" i="21"/>
  <c r="AB60" i="21"/>
  <c r="AA60" i="21"/>
  <c r="Y60" i="21"/>
  <c r="X60" i="21"/>
  <c r="V60" i="21"/>
  <c r="U60" i="21"/>
  <c r="S60" i="21"/>
  <c r="R60" i="21"/>
  <c r="Q60" i="21"/>
  <c r="P60" i="21"/>
  <c r="D60" i="21"/>
  <c r="AB59" i="21"/>
  <c r="AA59" i="21"/>
  <c r="Y59" i="21"/>
  <c r="X59" i="21"/>
  <c r="V59" i="21"/>
  <c r="U59" i="21"/>
  <c r="S59" i="21"/>
  <c r="R59" i="21"/>
  <c r="Q59" i="21"/>
  <c r="P59" i="21"/>
  <c r="D59" i="21"/>
  <c r="AB58" i="21"/>
  <c r="AA58" i="21"/>
  <c r="Y58" i="21"/>
  <c r="X58" i="21"/>
  <c r="V58" i="21"/>
  <c r="U58" i="21"/>
  <c r="S58" i="21"/>
  <c r="R58" i="21"/>
  <c r="Q58" i="21"/>
  <c r="P58" i="21"/>
  <c r="D58" i="21"/>
  <c r="AB57" i="21"/>
  <c r="AA57" i="21"/>
  <c r="Y57" i="21"/>
  <c r="X57" i="21"/>
  <c r="V57" i="21"/>
  <c r="U57" i="21"/>
  <c r="S57" i="21"/>
  <c r="R57" i="21"/>
  <c r="Q57" i="21"/>
  <c r="P57" i="21"/>
  <c r="D57" i="21"/>
  <c r="AB56" i="21"/>
  <c r="AA56" i="21"/>
  <c r="Y56" i="21"/>
  <c r="X56" i="21"/>
  <c r="V56" i="21"/>
  <c r="U56" i="21"/>
  <c r="S56" i="21"/>
  <c r="R56" i="21"/>
  <c r="Q56" i="21"/>
  <c r="P56" i="21"/>
  <c r="D56" i="21"/>
  <c r="AB55" i="21"/>
  <c r="AA55" i="21"/>
  <c r="Y55" i="21"/>
  <c r="X55" i="21"/>
  <c r="V55" i="21"/>
  <c r="U55" i="21"/>
  <c r="S55" i="21"/>
  <c r="R55" i="21"/>
  <c r="Q55" i="21"/>
  <c r="P55" i="21"/>
  <c r="D55" i="21"/>
  <c r="AB54" i="21"/>
  <c r="AA54" i="21"/>
  <c r="Y54" i="21"/>
  <c r="X54" i="21"/>
  <c r="V54" i="21"/>
  <c r="U54" i="21"/>
  <c r="S54" i="21"/>
  <c r="R54" i="21"/>
  <c r="Q54" i="21"/>
  <c r="P54" i="21"/>
  <c r="D54" i="21"/>
  <c r="AB53" i="21"/>
  <c r="AA53" i="21"/>
  <c r="Y53" i="21"/>
  <c r="X53" i="21"/>
  <c r="V53" i="21"/>
  <c r="U53" i="21"/>
  <c r="S53" i="21"/>
  <c r="R53" i="21"/>
  <c r="Q53" i="21"/>
  <c r="P53" i="21"/>
  <c r="D53" i="21"/>
  <c r="AB52" i="21"/>
  <c r="AA52" i="21"/>
  <c r="Y52" i="21"/>
  <c r="X52" i="21"/>
  <c r="V52" i="21"/>
  <c r="U52" i="21"/>
  <c r="S52" i="21"/>
  <c r="R52" i="21"/>
  <c r="Q52" i="21"/>
  <c r="P52" i="21"/>
  <c r="D52" i="21"/>
  <c r="AB51" i="21"/>
  <c r="AA51" i="21"/>
  <c r="Y51" i="21"/>
  <c r="X51" i="21"/>
  <c r="V51" i="21"/>
  <c r="U51" i="21"/>
  <c r="S51" i="21"/>
  <c r="R51" i="21"/>
  <c r="Q51" i="21"/>
  <c r="P51" i="21"/>
  <c r="D51" i="21"/>
  <c r="AB50" i="21"/>
  <c r="AA50" i="21"/>
  <c r="Y50" i="21"/>
  <c r="X50" i="21"/>
  <c r="V50" i="21"/>
  <c r="U50" i="21"/>
  <c r="S50" i="21"/>
  <c r="R50" i="21"/>
  <c r="Q50" i="21"/>
  <c r="P50" i="21"/>
  <c r="D50" i="21"/>
  <c r="AB49" i="21"/>
  <c r="AA49" i="21"/>
  <c r="Y49" i="21"/>
  <c r="X49" i="21"/>
  <c r="V49" i="21"/>
  <c r="U49" i="21"/>
  <c r="S49" i="21"/>
  <c r="R49" i="21"/>
  <c r="Q49" i="21"/>
  <c r="P49" i="21"/>
  <c r="D49" i="21"/>
  <c r="AB48" i="21"/>
  <c r="AA48" i="21"/>
  <c r="Y48" i="21"/>
  <c r="X48" i="21"/>
  <c r="V48" i="21"/>
  <c r="U48" i="21"/>
  <c r="S48" i="21"/>
  <c r="R48" i="21"/>
  <c r="Q48" i="21"/>
  <c r="P48" i="21"/>
  <c r="D48" i="21"/>
  <c r="AB47" i="21"/>
  <c r="AA47" i="21"/>
  <c r="Y47" i="21"/>
  <c r="X47" i="21"/>
  <c r="V47" i="21"/>
  <c r="U47" i="21"/>
  <c r="S47" i="21"/>
  <c r="R47" i="21"/>
  <c r="Q47" i="21"/>
  <c r="P47" i="21"/>
  <c r="D47" i="21"/>
  <c r="AB46" i="21"/>
  <c r="AA46" i="21"/>
  <c r="Y46" i="21"/>
  <c r="X46" i="21"/>
  <c r="V46" i="21"/>
  <c r="U46" i="21"/>
  <c r="S46" i="21"/>
  <c r="R46" i="21"/>
  <c r="Q46" i="21"/>
  <c r="P46" i="21"/>
  <c r="D46" i="21"/>
  <c r="AB45" i="21"/>
  <c r="AA45" i="21"/>
  <c r="Y45" i="21"/>
  <c r="X45" i="21"/>
  <c r="V45" i="21"/>
  <c r="U45" i="21"/>
  <c r="S45" i="21"/>
  <c r="R45" i="21"/>
  <c r="Q45" i="21"/>
  <c r="P45" i="21"/>
  <c r="D45" i="21"/>
  <c r="AB44" i="21"/>
  <c r="AA44" i="21"/>
  <c r="Y44" i="21"/>
  <c r="X44" i="21"/>
  <c r="V44" i="21"/>
  <c r="U44" i="21"/>
  <c r="S44" i="21"/>
  <c r="R44" i="21"/>
  <c r="Q44" i="21"/>
  <c r="P44" i="21"/>
  <c r="D44" i="21"/>
  <c r="AB43" i="21"/>
  <c r="AA43" i="21"/>
  <c r="Y43" i="21"/>
  <c r="X43" i="21"/>
  <c r="V43" i="21"/>
  <c r="U43" i="21"/>
  <c r="S43" i="21"/>
  <c r="R43" i="21"/>
  <c r="Q43" i="21"/>
  <c r="P43" i="21"/>
  <c r="D43" i="21"/>
  <c r="AB42" i="21"/>
  <c r="AA42" i="21"/>
  <c r="Y42" i="21"/>
  <c r="X42" i="21"/>
  <c r="V42" i="21"/>
  <c r="U42" i="21"/>
  <c r="S42" i="21"/>
  <c r="R42" i="21"/>
  <c r="Q42" i="21"/>
  <c r="P42" i="21"/>
  <c r="D42" i="21"/>
  <c r="AB41" i="21"/>
  <c r="AA41" i="21"/>
  <c r="Y41" i="21"/>
  <c r="X41" i="21"/>
  <c r="V41" i="21"/>
  <c r="U41" i="21"/>
  <c r="S41" i="21"/>
  <c r="R41" i="21"/>
  <c r="Q41" i="21"/>
  <c r="P41" i="21"/>
  <c r="D41" i="21"/>
  <c r="AB40" i="21"/>
  <c r="AA40" i="21"/>
  <c r="Y40" i="21"/>
  <c r="X40" i="21"/>
  <c r="V40" i="21"/>
  <c r="U40" i="21"/>
  <c r="S40" i="21"/>
  <c r="R40" i="21"/>
  <c r="Q40" i="21"/>
  <c r="P40" i="21"/>
  <c r="D40" i="21"/>
  <c r="AB39" i="21"/>
  <c r="AA39" i="21"/>
  <c r="Y39" i="21"/>
  <c r="X39" i="21"/>
  <c r="V39" i="21"/>
  <c r="U39" i="21"/>
  <c r="S39" i="21"/>
  <c r="R39" i="21"/>
  <c r="Q39" i="21"/>
  <c r="P39" i="21"/>
  <c r="D39" i="21"/>
  <c r="AB38" i="21"/>
  <c r="AA38" i="21"/>
  <c r="Y38" i="21"/>
  <c r="X38" i="21"/>
  <c r="V38" i="21"/>
  <c r="U38" i="21"/>
  <c r="S38" i="21"/>
  <c r="R38" i="21"/>
  <c r="Q38" i="21"/>
  <c r="P38" i="21"/>
  <c r="D38" i="21"/>
  <c r="AB37" i="21"/>
  <c r="AA37" i="21"/>
  <c r="Y37" i="21"/>
  <c r="X37" i="21"/>
  <c r="V37" i="21"/>
  <c r="U37" i="21"/>
  <c r="S37" i="21"/>
  <c r="R37" i="21"/>
  <c r="Q37" i="21"/>
  <c r="P37" i="21"/>
  <c r="D37" i="21"/>
  <c r="AB36" i="21"/>
  <c r="AA36" i="21"/>
  <c r="Y36" i="21"/>
  <c r="X36" i="21"/>
  <c r="V36" i="21"/>
  <c r="U36" i="21"/>
  <c r="S36" i="21"/>
  <c r="R36" i="21"/>
  <c r="Q36" i="21"/>
  <c r="P36" i="21"/>
  <c r="D36" i="21"/>
  <c r="AB35" i="21"/>
  <c r="AA35" i="21"/>
  <c r="Y35" i="21"/>
  <c r="X35" i="21"/>
  <c r="V35" i="21"/>
  <c r="U35" i="21"/>
  <c r="S35" i="21"/>
  <c r="R35" i="21"/>
  <c r="Q35" i="21"/>
  <c r="P35" i="21"/>
  <c r="D35" i="21"/>
  <c r="AB34" i="21"/>
  <c r="AA34" i="21"/>
  <c r="Y34" i="21"/>
  <c r="X34" i="21"/>
  <c r="V34" i="21"/>
  <c r="U34" i="21"/>
  <c r="S34" i="21"/>
  <c r="R34" i="21"/>
  <c r="Q34" i="21"/>
  <c r="P34" i="21"/>
  <c r="D34" i="21"/>
  <c r="AB33" i="21"/>
  <c r="AA33" i="21"/>
  <c r="Y33" i="21"/>
  <c r="X33" i="21"/>
  <c r="V33" i="21"/>
  <c r="U33" i="21"/>
  <c r="S33" i="21"/>
  <c r="R33" i="21"/>
  <c r="Q33" i="21"/>
  <c r="P33" i="21"/>
  <c r="D33" i="21"/>
  <c r="AB32" i="21"/>
  <c r="AA32" i="21"/>
  <c r="Y32" i="21"/>
  <c r="X32" i="21"/>
  <c r="V32" i="21"/>
  <c r="U32" i="21"/>
  <c r="S32" i="21"/>
  <c r="R32" i="21"/>
  <c r="Q32" i="21"/>
  <c r="P32" i="21"/>
  <c r="D32" i="21"/>
  <c r="AB31" i="21"/>
  <c r="AA31" i="21"/>
  <c r="Y31" i="21"/>
  <c r="X31" i="21"/>
  <c r="V31" i="21"/>
  <c r="U31" i="21"/>
  <c r="S31" i="21"/>
  <c r="R31" i="21"/>
  <c r="Q31" i="21"/>
  <c r="P31" i="21"/>
  <c r="D31" i="21"/>
  <c r="AB30" i="21"/>
  <c r="AA30" i="21"/>
  <c r="Y30" i="21"/>
  <c r="X30" i="21"/>
  <c r="V30" i="21"/>
  <c r="U30" i="21"/>
  <c r="S30" i="21"/>
  <c r="R30" i="21"/>
  <c r="Q30" i="21"/>
  <c r="P30" i="21"/>
  <c r="D30" i="21"/>
  <c r="AB29" i="21"/>
  <c r="AA29" i="21"/>
  <c r="Y29" i="21"/>
  <c r="X29" i="21"/>
  <c r="V29" i="21"/>
  <c r="U29" i="21"/>
  <c r="S29" i="21"/>
  <c r="R29" i="21"/>
  <c r="Q29" i="21"/>
  <c r="P29" i="21"/>
  <c r="D29" i="21"/>
  <c r="AB28" i="21"/>
  <c r="AA28" i="21"/>
  <c r="Y28" i="21"/>
  <c r="X28" i="21"/>
  <c r="V28" i="21"/>
  <c r="U28" i="21"/>
  <c r="S28" i="21"/>
  <c r="R28" i="21"/>
  <c r="Q28" i="21"/>
  <c r="P28" i="21"/>
  <c r="D28" i="21"/>
  <c r="AB27" i="21"/>
  <c r="AA27" i="21"/>
  <c r="Y27" i="21"/>
  <c r="X27" i="21"/>
  <c r="V27" i="21"/>
  <c r="U27" i="21"/>
  <c r="S27" i="21"/>
  <c r="R27" i="21"/>
  <c r="Q27" i="21"/>
  <c r="P27" i="21"/>
  <c r="D27" i="21"/>
  <c r="AB26" i="21"/>
  <c r="AA26" i="21"/>
  <c r="Y26" i="21"/>
  <c r="X26" i="21"/>
  <c r="V26" i="21"/>
  <c r="U26" i="21"/>
  <c r="S26" i="21"/>
  <c r="R26" i="21"/>
  <c r="Q26" i="21"/>
  <c r="P26" i="21"/>
  <c r="D26" i="21"/>
  <c r="AB25" i="21"/>
  <c r="AA25" i="21"/>
  <c r="Y25" i="21"/>
  <c r="X25" i="21"/>
  <c r="V25" i="21"/>
  <c r="U25" i="21"/>
  <c r="S25" i="21"/>
  <c r="R25" i="21"/>
  <c r="Q25" i="21"/>
  <c r="P25" i="21"/>
  <c r="D25" i="21"/>
  <c r="AB24" i="21"/>
  <c r="AA24" i="21"/>
  <c r="Y24" i="21"/>
  <c r="X24" i="21"/>
  <c r="V24" i="21"/>
  <c r="U24" i="21"/>
  <c r="S24" i="21"/>
  <c r="R24" i="21"/>
  <c r="Q24" i="21"/>
  <c r="P24" i="21"/>
  <c r="D24" i="21"/>
  <c r="AB23" i="21"/>
  <c r="AA23" i="21"/>
  <c r="Y23" i="21"/>
  <c r="X23" i="21"/>
  <c r="V23" i="21"/>
  <c r="U23" i="21"/>
  <c r="S23" i="21"/>
  <c r="R23" i="21"/>
  <c r="Q23" i="21"/>
  <c r="P23" i="21"/>
  <c r="D23" i="21"/>
  <c r="AB22" i="21"/>
  <c r="AA22" i="21"/>
  <c r="Y22" i="21"/>
  <c r="X22" i="21"/>
  <c r="V22" i="21"/>
  <c r="U22" i="21"/>
  <c r="S22" i="21"/>
  <c r="R22" i="21"/>
  <c r="Q22" i="21"/>
  <c r="P22" i="21"/>
  <c r="D22" i="21"/>
  <c r="AB21" i="21"/>
  <c r="AA21" i="21"/>
  <c r="Y21" i="21"/>
  <c r="X21" i="21"/>
  <c r="V21" i="21"/>
  <c r="U21" i="21"/>
  <c r="S21" i="21"/>
  <c r="R21" i="21"/>
  <c r="Q21" i="21"/>
  <c r="P21" i="21"/>
  <c r="D21" i="21"/>
  <c r="AB20" i="21"/>
  <c r="AA20" i="21"/>
  <c r="Y20" i="21"/>
  <c r="X20" i="21"/>
  <c r="V20" i="21"/>
  <c r="U20" i="21"/>
  <c r="S20" i="21"/>
  <c r="R20" i="21"/>
  <c r="Q20" i="21"/>
  <c r="P20" i="21"/>
  <c r="D20" i="21"/>
  <c r="AB19" i="21"/>
  <c r="AA19" i="21"/>
  <c r="Y19" i="21"/>
  <c r="X19" i="21"/>
  <c r="V19" i="21"/>
  <c r="U19" i="21"/>
  <c r="S19" i="21"/>
  <c r="R19" i="21"/>
  <c r="Q19" i="21"/>
  <c r="P19" i="21"/>
  <c r="D19" i="21"/>
  <c r="AB18" i="21"/>
  <c r="AA18" i="21"/>
  <c r="Y18" i="21"/>
  <c r="X18" i="21"/>
  <c r="V18" i="21"/>
  <c r="U18" i="21"/>
  <c r="S18" i="21"/>
  <c r="R18" i="21"/>
  <c r="Q18" i="21"/>
  <c r="P18" i="21"/>
  <c r="D18" i="21"/>
  <c r="AB17" i="21"/>
  <c r="AA17" i="21"/>
  <c r="Y17" i="21"/>
  <c r="X17" i="21"/>
  <c r="V17" i="21"/>
  <c r="U17" i="21"/>
  <c r="S17" i="21"/>
  <c r="R17" i="21"/>
  <c r="Q17" i="21"/>
  <c r="P17" i="21"/>
  <c r="D17" i="21"/>
  <c r="AB16" i="21"/>
  <c r="AA16" i="21"/>
  <c r="Y16" i="21"/>
  <c r="X16" i="21"/>
  <c r="V16" i="21"/>
  <c r="U16" i="21"/>
  <c r="S16" i="21"/>
  <c r="R16" i="21"/>
  <c r="Q16" i="21"/>
  <c r="P16" i="21"/>
  <c r="D16" i="21"/>
  <c r="AB15" i="21"/>
  <c r="AA15" i="21"/>
  <c r="Y15" i="21"/>
  <c r="X15" i="21"/>
  <c r="V15" i="21"/>
  <c r="U15" i="21"/>
  <c r="S15" i="21"/>
  <c r="R15" i="21"/>
  <c r="Q15" i="21"/>
  <c r="P15" i="21"/>
  <c r="D15" i="21"/>
  <c r="AB14" i="21"/>
  <c r="AA14" i="21"/>
  <c r="Y14" i="21"/>
  <c r="X14" i="21"/>
  <c r="V14" i="21"/>
  <c r="U14" i="21"/>
  <c r="S14" i="21"/>
  <c r="R14" i="21"/>
  <c r="Q14" i="21"/>
  <c r="P14" i="21"/>
  <c r="D14" i="21"/>
  <c r="AB13" i="21"/>
  <c r="AA13" i="21"/>
  <c r="Y13" i="21"/>
  <c r="X13" i="21"/>
  <c r="V13" i="21"/>
  <c r="U13" i="21"/>
  <c r="S13" i="21"/>
  <c r="R13" i="21"/>
  <c r="Q13" i="21"/>
  <c r="P13" i="21"/>
  <c r="D13" i="21"/>
  <c r="AB12" i="21"/>
  <c r="AA12" i="21"/>
  <c r="Y12" i="21"/>
  <c r="X12" i="21"/>
  <c r="V12" i="21"/>
  <c r="U12" i="21"/>
  <c r="S12" i="21"/>
  <c r="R12" i="21"/>
  <c r="Q12" i="21"/>
  <c r="P12" i="21"/>
  <c r="D12" i="21"/>
  <c r="AB11" i="21"/>
  <c r="AA11" i="21"/>
  <c r="Y11" i="21"/>
  <c r="X11" i="21"/>
  <c r="V11" i="21"/>
  <c r="U11" i="21"/>
  <c r="S11" i="21"/>
  <c r="R11" i="21"/>
  <c r="Q11" i="21"/>
  <c r="P11" i="21"/>
  <c r="D11" i="21"/>
  <c r="AB10" i="21"/>
  <c r="AA10" i="21"/>
  <c r="Y10" i="21"/>
  <c r="X10" i="21"/>
  <c r="V10" i="21"/>
  <c r="U10" i="21"/>
  <c r="S10" i="21"/>
  <c r="R10" i="21"/>
  <c r="Q10" i="21"/>
  <c r="P10" i="21"/>
  <c r="D10" i="21"/>
  <c r="AB9" i="21"/>
  <c r="AA9" i="21"/>
  <c r="Y9" i="21"/>
  <c r="X9" i="21"/>
  <c r="V9" i="21"/>
  <c r="U9" i="21"/>
  <c r="S9" i="21"/>
  <c r="R9" i="21"/>
  <c r="Q9" i="21"/>
  <c r="P9" i="21"/>
  <c r="D9" i="21"/>
  <c r="AB8" i="21"/>
  <c r="AA8" i="21"/>
  <c r="Y8" i="21"/>
  <c r="X8" i="21"/>
  <c r="V8" i="21"/>
  <c r="U8" i="21"/>
  <c r="S8" i="21"/>
  <c r="R8" i="21"/>
  <c r="Q8" i="21"/>
  <c r="P8" i="21"/>
  <c r="D8" i="21"/>
  <c r="AB7" i="21"/>
  <c r="AA7" i="21"/>
  <c r="Y7" i="21"/>
  <c r="X7" i="21"/>
  <c r="V7" i="21"/>
  <c r="U7" i="21"/>
  <c r="S7" i="21"/>
  <c r="R7" i="21"/>
  <c r="Q7" i="21"/>
  <c r="P7" i="21"/>
  <c r="D7" i="21"/>
  <c r="AB6" i="21"/>
  <c r="AA6" i="21"/>
  <c r="Y6" i="21"/>
  <c r="X6" i="21"/>
  <c r="V6" i="21"/>
  <c r="U6" i="21"/>
  <c r="S6" i="21"/>
  <c r="R6" i="21"/>
  <c r="Q6" i="21"/>
  <c r="P6" i="21"/>
  <c r="D6" i="21"/>
  <c r="AB5" i="21"/>
  <c r="AA5" i="21"/>
  <c r="Y5" i="21"/>
  <c r="X5" i="21"/>
  <c r="V5" i="21"/>
  <c r="U5" i="21"/>
  <c r="S5" i="21"/>
  <c r="R5" i="21"/>
  <c r="Q5" i="21"/>
  <c r="P5" i="21"/>
  <c r="D5" i="21"/>
  <c r="AB4" i="21"/>
  <c r="AA4" i="21"/>
  <c r="Y4" i="21"/>
  <c r="X4" i="21"/>
  <c r="V4" i="21"/>
  <c r="U4" i="21"/>
  <c r="S4" i="21"/>
  <c r="R4" i="21"/>
  <c r="Q4" i="21"/>
  <c r="P4" i="21"/>
  <c r="D4" i="21"/>
  <c r="J13" i="17"/>
  <c r="F100" i="20"/>
  <c r="D100" i="20"/>
  <c r="E100" i="20"/>
  <c r="C100" i="20"/>
  <c r="C76" i="21"/>
  <c r="C291" i="21"/>
  <c r="C92" i="21"/>
  <c r="C89" i="21"/>
  <c r="C204" i="21"/>
  <c r="C217" i="21"/>
  <c r="C194" i="21"/>
  <c r="C222" i="21"/>
  <c r="C290" i="21"/>
  <c r="C230" i="21"/>
  <c r="C308" i="21"/>
  <c r="C315" i="21"/>
  <c r="C310" i="21"/>
  <c r="C26" i="21"/>
  <c r="C134" i="21"/>
  <c r="C218" i="21"/>
  <c r="C7" i="21"/>
  <c r="C242" i="21"/>
  <c r="C29" i="21"/>
  <c r="C182" i="21"/>
  <c r="C263" i="21"/>
  <c r="C31" i="21"/>
  <c r="C215" i="21"/>
  <c r="C273" i="21"/>
  <c r="C119" i="21"/>
  <c r="C47" i="21"/>
  <c r="C28" i="21"/>
  <c r="C71" i="21"/>
  <c r="C154" i="21"/>
  <c r="C123" i="21"/>
  <c r="C66" i="21"/>
  <c r="C178" i="21"/>
  <c r="C160" i="21"/>
  <c r="C283" i="21"/>
  <c r="C4" i="21"/>
  <c r="C44" i="21"/>
  <c r="C320" i="21"/>
  <c r="C257" i="21"/>
  <c r="C181" i="21"/>
  <c r="C170" i="21"/>
  <c r="C35" i="21"/>
  <c r="C212" i="21"/>
  <c r="C272" i="21"/>
  <c r="C233" i="21"/>
  <c r="C9" i="21"/>
  <c r="C108" i="21"/>
  <c r="C14" i="21"/>
  <c r="C198" i="21"/>
  <c r="C322" i="21"/>
  <c r="C305" i="21"/>
  <c r="C32" i="21"/>
  <c r="C117" i="21"/>
  <c r="C69" i="21"/>
  <c r="C221" i="21"/>
  <c r="C164" i="21"/>
  <c r="C201" i="21"/>
  <c r="C98" i="21"/>
  <c r="C137" i="21"/>
  <c r="C270" i="21"/>
  <c r="C189" i="21"/>
  <c r="C238" i="21"/>
  <c r="C18" i="21"/>
  <c r="C306" i="21"/>
  <c r="C237" i="21"/>
  <c r="C274" i="21"/>
  <c r="C107" i="21"/>
  <c r="C251" i="21"/>
  <c r="C209" i="21"/>
  <c r="C130" i="21"/>
  <c r="C317" i="21"/>
  <c r="C275" i="21"/>
  <c r="C266" i="21"/>
  <c r="C64" i="21"/>
  <c r="C135" i="21"/>
  <c r="C329" i="21"/>
  <c r="C22" i="21"/>
  <c r="C199" i="21"/>
  <c r="C279" i="21"/>
  <c r="C234" i="21"/>
  <c r="C125" i="21"/>
  <c r="C185" i="21"/>
  <c r="C148" i="21"/>
  <c r="C82" i="21"/>
  <c r="C129" i="21"/>
  <c r="C96" i="21"/>
  <c r="C174" i="21"/>
  <c r="C52" i="21"/>
  <c r="C127" i="21"/>
  <c r="C254" i="21"/>
  <c r="C103" i="21"/>
  <c r="C167" i="21"/>
  <c r="C59" i="21"/>
  <c r="C139" i="21"/>
  <c r="C149" i="21"/>
  <c r="C162" i="21"/>
  <c r="C42" i="21"/>
  <c r="C163" i="21"/>
  <c r="C203" i="21"/>
  <c r="C161" i="21"/>
  <c r="C328" i="21"/>
  <c r="C319" i="21"/>
  <c r="C136" i="21"/>
  <c r="C138" i="21"/>
  <c r="C286" i="21"/>
  <c r="C33" i="21"/>
  <c r="C210" i="21"/>
  <c r="C77" i="21"/>
  <c r="C79" i="21"/>
  <c r="C145" i="21"/>
  <c r="C93" i="21"/>
  <c r="C232" i="21"/>
  <c r="C258" i="21"/>
  <c r="C166" i="21"/>
  <c r="C67" i="21"/>
  <c r="C296" i="21"/>
  <c r="C78" i="21"/>
  <c r="C205" i="21"/>
  <c r="C284" i="21"/>
  <c r="C173" i="21"/>
  <c r="C68" i="21"/>
  <c r="C195" i="21"/>
  <c r="C197" i="21"/>
  <c r="C12" i="21"/>
  <c r="C259" i="21"/>
  <c r="C264" i="21"/>
  <c r="C61" i="21"/>
  <c r="C39" i="21"/>
  <c r="C287" i="21"/>
  <c r="C24" i="21"/>
  <c r="C60" i="21"/>
  <c r="C262" i="21"/>
  <c r="C184" i="21"/>
  <c r="C141" i="21"/>
  <c r="C187" i="21"/>
  <c r="C30" i="21"/>
  <c r="C110" i="21"/>
  <c r="C253" i="21"/>
  <c r="C15" i="21"/>
  <c r="C302" i="21"/>
  <c r="C20" i="21"/>
  <c r="C244" i="21"/>
  <c r="C73" i="21"/>
  <c r="C159" i="21"/>
  <c r="C131" i="21"/>
  <c r="C323" i="21"/>
  <c r="C316" i="21"/>
  <c r="C180" i="21"/>
  <c r="C301" i="21"/>
  <c r="C112" i="21"/>
  <c r="C268" i="21"/>
  <c r="C311" i="21"/>
  <c r="C261" i="21"/>
  <c r="C260" i="21"/>
  <c r="C304" i="21"/>
  <c r="C158" i="21"/>
  <c r="C231" i="21"/>
  <c r="C114" i="21"/>
  <c r="C122" i="21"/>
  <c r="C128" i="21"/>
  <c r="C105" i="21"/>
  <c r="C277" i="21"/>
  <c r="C239" i="21"/>
  <c r="C206" i="21"/>
  <c r="C54" i="21"/>
  <c r="C228" i="21"/>
  <c r="C151" i="21"/>
  <c r="C327" i="21"/>
  <c r="C74" i="21"/>
  <c r="C171" i="21"/>
  <c r="C243" i="21"/>
  <c r="C188" i="21"/>
  <c r="C265" i="21"/>
  <c r="C85" i="21"/>
  <c r="C278" i="21"/>
  <c r="C100" i="21"/>
  <c r="C65" i="21"/>
  <c r="C271" i="21"/>
  <c r="C146" i="21"/>
  <c r="C281" i="21"/>
  <c r="C50" i="21"/>
  <c r="C109" i="21"/>
  <c r="C247" i="21"/>
  <c r="C157" i="21"/>
  <c r="C37" i="21"/>
  <c r="C155" i="21"/>
  <c r="C190" i="21"/>
  <c r="C202" i="21"/>
  <c r="C211" i="21"/>
  <c r="C249" i="21"/>
  <c r="C8" i="21"/>
  <c r="C324" i="21"/>
  <c r="C38" i="21"/>
  <c r="C326" i="21"/>
  <c r="C246" i="21"/>
  <c r="C208" i="21"/>
  <c r="C226" i="21"/>
  <c r="C72" i="21"/>
  <c r="C269" i="21"/>
  <c r="C70" i="21"/>
  <c r="C126" i="21"/>
  <c r="C113" i="21"/>
  <c r="C292" i="21"/>
  <c r="C289" i="21"/>
  <c r="C102" i="21"/>
  <c r="C224" i="21"/>
  <c r="C25" i="21"/>
  <c r="C192" i="21"/>
  <c r="C116" i="21"/>
  <c r="C13" i="21"/>
  <c r="C45" i="21"/>
  <c r="C241" i="21"/>
  <c r="C256" i="21"/>
  <c r="C41" i="21"/>
  <c r="C280" i="21"/>
  <c r="C5" i="21"/>
  <c r="C17" i="21"/>
  <c r="C115" i="21"/>
  <c r="C19" i="21"/>
  <c r="C91" i="21"/>
  <c r="C101" i="21"/>
  <c r="C48" i="21"/>
  <c r="C55" i="21"/>
  <c r="C150" i="21"/>
  <c r="C84" i="21"/>
  <c r="C236" i="21"/>
  <c r="C252" i="21"/>
  <c r="C267" i="21"/>
  <c r="C191" i="21"/>
  <c r="C303" i="21"/>
  <c r="C200" i="21"/>
  <c r="C235" i="21"/>
  <c r="C153" i="21"/>
  <c r="C147" i="21"/>
  <c r="C169" i="21"/>
  <c r="C282" i="21"/>
  <c r="C75" i="21"/>
  <c r="C86" i="21"/>
  <c r="C307" i="21"/>
  <c r="C255" i="21"/>
  <c r="C321" i="21"/>
  <c r="C240" i="21"/>
  <c r="C16" i="21"/>
  <c r="C298" i="21"/>
  <c r="C172" i="21"/>
  <c r="C51" i="21"/>
  <c r="C179" i="21"/>
  <c r="C56" i="21"/>
  <c r="C53" i="21"/>
  <c r="C88" i="21"/>
  <c r="C318" i="21"/>
  <c r="C177" i="21"/>
  <c r="C186" i="21"/>
  <c r="C118" i="21"/>
  <c r="C140" i="21"/>
  <c r="C314" i="21"/>
  <c r="C46" i="21"/>
  <c r="C87" i="21"/>
  <c r="C193" i="21"/>
  <c r="C299" i="21"/>
  <c r="C120" i="21"/>
  <c r="C62" i="21"/>
  <c r="C325" i="21"/>
  <c r="C295" i="21"/>
  <c r="C57" i="21"/>
  <c r="C143" i="21"/>
  <c r="C132" i="21"/>
  <c r="C104" i="21"/>
  <c r="C156" i="21"/>
  <c r="C106" i="21"/>
  <c r="C165" i="21"/>
  <c r="C276" i="21"/>
  <c r="C121" i="21"/>
  <c r="C213" i="21"/>
  <c r="C214" i="21"/>
  <c r="C142" i="21"/>
  <c r="C312" i="21"/>
  <c r="C80" i="21"/>
  <c r="C40" i="21"/>
  <c r="C152" i="21"/>
  <c r="C227" i="21"/>
  <c r="C90" i="21"/>
  <c r="C285" i="21"/>
  <c r="C176" i="21"/>
  <c r="C133" i="21"/>
  <c r="C220" i="21"/>
  <c r="C81" i="21"/>
  <c r="C111" i="21"/>
  <c r="C36" i="21"/>
  <c r="C21" i="21"/>
  <c r="C229" i="21"/>
  <c r="C223" i="21"/>
  <c r="C49" i="21"/>
  <c r="C99" i="21"/>
  <c r="C144" i="21"/>
  <c r="C300" i="21"/>
  <c r="C248" i="21"/>
  <c r="C183" i="21"/>
  <c r="C250" i="21"/>
  <c r="C175" i="21"/>
  <c r="C309" i="21"/>
  <c r="C294" i="21"/>
  <c r="C23" i="21"/>
  <c r="C63" i="21"/>
  <c r="C83" i="21"/>
  <c r="C27" i="21"/>
  <c r="C207" i="21"/>
  <c r="C6" i="21"/>
  <c r="C216" i="21"/>
  <c r="C168" i="21"/>
  <c r="C225" i="21"/>
  <c r="C293" i="21"/>
  <c r="C58" i="21"/>
  <c r="C313" i="21"/>
  <c r="C297" i="21"/>
  <c r="C43" i="21"/>
  <c r="C196" i="21"/>
  <c r="C288" i="21"/>
  <c r="C34" i="21"/>
  <c r="C219" i="21"/>
  <c r="C124" i="21"/>
  <c r="C97" i="21"/>
  <c r="C95" i="21"/>
  <c r="C94" i="21"/>
  <c r="C10" i="21"/>
  <c r="C245" i="21"/>
  <c r="C11" i="21"/>
  <c r="U237" i="21" l="1"/>
  <c r="X237" i="21" s="1"/>
  <c r="U213" i="21"/>
  <c r="X213" i="21" s="1"/>
  <c r="Z213" i="21" s="1"/>
  <c r="U216" i="21"/>
  <c r="X216" i="21" s="1"/>
  <c r="Z216" i="21" s="1"/>
  <c r="U281" i="21"/>
  <c r="X281" i="21" s="1"/>
  <c r="Z281" i="21" s="1"/>
  <c r="U224" i="21"/>
  <c r="X224" i="21" s="1"/>
  <c r="U148" i="21"/>
  <c r="X148" i="21" s="1"/>
  <c r="Z148" i="21" s="1"/>
  <c r="U273" i="21"/>
  <c r="X273" i="21" s="1"/>
  <c r="AA273" i="21" s="1"/>
  <c r="X291" i="21"/>
  <c r="AA291" i="21" s="1"/>
  <c r="U212" i="21"/>
  <c r="X260" i="21"/>
  <c r="AA260" i="21" s="1"/>
  <c r="U147" i="21"/>
  <c r="X147" i="21" s="1"/>
  <c r="Z147" i="21" s="1"/>
  <c r="U275" i="21"/>
  <c r="U283" i="21"/>
  <c r="X283" i="21" s="1"/>
  <c r="Z283" i="21" s="1"/>
  <c r="U290" i="21"/>
  <c r="X290" i="21" s="1"/>
  <c r="U296" i="21"/>
  <c r="X296" i="21" s="1"/>
  <c r="U269" i="21"/>
  <c r="X269" i="21" s="1"/>
  <c r="Z269" i="21" s="1"/>
  <c r="U274" i="21"/>
  <c r="X274" i="21" s="1"/>
  <c r="AA274" i="21" s="1"/>
  <c r="U295" i="21"/>
  <c r="X295" i="21" s="1"/>
  <c r="Z295" i="21" s="1"/>
  <c r="Z109" i="21"/>
  <c r="Z129" i="21"/>
  <c r="Z130" i="21"/>
  <c r="Z136" i="21"/>
  <c r="Z121" i="21"/>
  <c r="Z21" i="21"/>
  <c r="Z34" i="21"/>
  <c r="Z35" i="21"/>
  <c r="Z37" i="21"/>
  <c r="Z40" i="21"/>
  <c r="Z41" i="21"/>
  <c r="Z42" i="21"/>
  <c r="Z43" i="21"/>
  <c r="Z46" i="21"/>
  <c r="Z52" i="21"/>
  <c r="Z60" i="21"/>
  <c r="Z61" i="21"/>
  <c r="Z64" i="21"/>
  <c r="Z68" i="21"/>
  <c r="Z76" i="21"/>
  <c r="Z81" i="21"/>
  <c r="Z84" i="21"/>
  <c r="Z89" i="21"/>
  <c r="Z92" i="21"/>
  <c r="Z94" i="21"/>
  <c r="Z95" i="21"/>
  <c r="Z98" i="21"/>
  <c r="Z99" i="21"/>
  <c r="Z100" i="21"/>
  <c r="Z103" i="21"/>
  <c r="Z113" i="21"/>
  <c r="Z123" i="21"/>
  <c r="Z127" i="21"/>
  <c r="Z29" i="21"/>
  <c r="Z87" i="21"/>
  <c r="Z31" i="21"/>
  <c r="Z138" i="21"/>
  <c r="Z39" i="21"/>
  <c r="Z97" i="21"/>
  <c r="Z23" i="21"/>
  <c r="Z24" i="21"/>
  <c r="Z25" i="21"/>
  <c r="Z26" i="21"/>
  <c r="Z27" i="21"/>
  <c r="Z30" i="21"/>
  <c r="Z47" i="21"/>
  <c r="Z50" i="21"/>
  <c r="Z83" i="21"/>
  <c r="Z85" i="21"/>
  <c r="Z88" i="21"/>
  <c r="Z102" i="21"/>
  <c r="Z131" i="21"/>
  <c r="Z132" i="21"/>
  <c r="Z133" i="21"/>
  <c r="Z134" i="21"/>
  <c r="Z135" i="21"/>
  <c r="Z5" i="21"/>
  <c r="Z7" i="21"/>
  <c r="Z22" i="21"/>
  <c r="Z32" i="21"/>
  <c r="Z33" i="21"/>
  <c r="Z107" i="21"/>
  <c r="Z28" i="21"/>
  <c r="Z36" i="21"/>
  <c r="Z44" i="21"/>
  <c r="Z45" i="21"/>
  <c r="Z66" i="21"/>
  <c r="Z70" i="21"/>
  <c r="Z74" i="21"/>
  <c r="Z78" i="21"/>
  <c r="Z82" i="21"/>
  <c r="Z86" i="21"/>
  <c r="Z90" i="21"/>
  <c r="Z91" i="21"/>
  <c r="Z101" i="21"/>
  <c r="Z117" i="21"/>
  <c r="Z119" i="21"/>
  <c r="Z38" i="21"/>
  <c r="Z48" i="21"/>
  <c r="Z49" i="21"/>
  <c r="Z56" i="21"/>
  <c r="Z57" i="21"/>
  <c r="Z93" i="21"/>
  <c r="Z96" i="21"/>
  <c r="Z137" i="21"/>
  <c r="U144" i="21"/>
  <c r="X144" i="21" s="1"/>
  <c r="Z144" i="21" s="1"/>
  <c r="U163" i="21"/>
  <c r="X163" i="21" s="1"/>
  <c r="AA163" i="21" s="1"/>
  <c r="AA241" i="21"/>
  <c r="Z241" i="21"/>
  <c r="Z4" i="21"/>
  <c r="Z10" i="21"/>
  <c r="Z12" i="21"/>
  <c r="Z14" i="21"/>
  <c r="Z16" i="21"/>
  <c r="Z18" i="21"/>
  <c r="AA245" i="21"/>
  <c r="Z245" i="21"/>
  <c r="Z54" i="21"/>
  <c r="Z58" i="21"/>
  <c r="Z62" i="21"/>
  <c r="U143" i="21"/>
  <c r="U145" i="21"/>
  <c r="Z262" i="21"/>
  <c r="AA262" i="21"/>
  <c r="X270" i="21"/>
  <c r="Z6" i="21"/>
  <c r="Z9" i="21"/>
  <c r="Z11" i="21"/>
  <c r="Z13" i="21"/>
  <c r="Z15" i="21"/>
  <c r="Z17" i="21"/>
  <c r="Z19" i="21"/>
  <c r="Z55" i="21"/>
  <c r="Z59" i="21"/>
  <c r="Z63" i="21"/>
  <c r="Z65" i="21"/>
  <c r="Z67" i="21"/>
  <c r="Z69" i="21"/>
  <c r="Z71" i="21"/>
  <c r="Z73" i="21"/>
  <c r="Z75" i="21"/>
  <c r="Z77" i="21"/>
  <c r="Z105" i="21"/>
  <c r="AA266" i="21"/>
  <c r="Z266" i="21"/>
  <c r="Z104" i="21"/>
  <c r="Z106" i="21"/>
  <c r="Z108" i="21"/>
  <c r="Z111" i="21"/>
  <c r="Z115" i="21"/>
  <c r="Z118" i="21"/>
  <c r="Z122" i="21"/>
  <c r="Z124" i="21"/>
  <c r="Z126" i="21"/>
  <c r="Z128" i="21"/>
  <c r="U220" i="21"/>
  <c r="AA250" i="21"/>
  <c r="Z254" i="21"/>
  <c r="U257" i="21"/>
  <c r="U277" i="21"/>
  <c r="X277" i="21" s="1"/>
  <c r="Z277" i="21" s="1"/>
  <c r="U289" i="21"/>
  <c r="X248" i="21"/>
  <c r="AA248" i="21" s="1"/>
  <c r="X276" i="21"/>
  <c r="AA276" i="21" s="1"/>
  <c r="U285" i="21"/>
  <c r="X285" i="21" s="1"/>
  <c r="Z285" i="21" s="1"/>
  <c r="X293" i="21"/>
  <c r="AA293" i="21" s="1"/>
  <c r="Z110" i="21"/>
  <c r="Z112" i="21"/>
  <c r="Z114" i="21"/>
  <c r="Z116" i="21"/>
  <c r="Z120" i="21"/>
  <c r="Z125" i="21"/>
  <c r="AA213" i="21"/>
  <c r="AA216" i="21"/>
  <c r="X222" i="21"/>
  <c r="X215" i="21"/>
  <c r="AA217" i="21"/>
  <c r="Z217" i="21"/>
  <c r="X142" i="21"/>
  <c r="X214" i="21"/>
  <c r="X219" i="21"/>
  <c r="AA221" i="21"/>
  <c r="Z221" i="21"/>
  <c r="Z224" i="21"/>
  <c r="AA224" i="21"/>
  <c r="X141" i="21"/>
  <c r="X146" i="21"/>
  <c r="X218" i="21"/>
  <c r="X223" i="21"/>
  <c r="X233" i="21"/>
  <c r="AA239" i="21"/>
  <c r="Z239" i="21"/>
  <c r="X255" i="21"/>
  <c r="AA272" i="21"/>
  <c r="Z272" i="21"/>
  <c r="X229" i="21"/>
  <c r="U235" i="21"/>
  <c r="X238" i="21"/>
  <c r="AA243" i="21"/>
  <c r="Z243" i="21"/>
  <c r="X267" i="21"/>
  <c r="X225" i="21"/>
  <c r="Z226" i="21"/>
  <c r="U231" i="21"/>
  <c r="X234" i="21"/>
  <c r="AA236" i="21"/>
  <c r="X240" i="21"/>
  <c r="U242" i="21"/>
  <c r="AA247" i="21"/>
  <c r="Z247" i="21"/>
  <c r="X271" i="21"/>
  <c r="AA232" i="21"/>
  <c r="X244" i="21"/>
  <c r="U246" i="21"/>
  <c r="AA268" i="21"/>
  <c r="Z268" i="21"/>
  <c r="U249" i="21"/>
  <c r="X259" i="21"/>
  <c r="U261" i="21"/>
  <c r="U280" i="21"/>
  <c r="U288" i="21"/>
  <c r="U298" i="21"/>
  <c r="X251" i="21"/>
  <c r="Z252" i="21"/>
  <c r="U253" i="21"/>
  <c r="X263" i="21"/>
  <c r="Z264" i="21"/>
  <c r="U265" i="21"/>
  <c r="X279" i="21"/>
  <c r="X287" i="21"/>
  <c r="X297" i="21"/>
  <c r="Z256" i="21"/>
  <c r="U294" i="21"/>
  <c r="X278" i="21"/>
  <c r="X286" i="21"/>
  <c r="AA148" i="21" l="1"/>
  <c r="AA285" i="21"/>
  <c r="AA283" i="21"/>
  <c r="AA269" i="21"/>
  <c r="Z293" i="21"/>
  <c r="Z291" i="21"/>
  <c r="Z248" i="21"/>
  <c r="X275" i="21"/>
  <c r="AA275" i="21" s="1"/>
  <c r="Z273" i="21"/>
  <c r="AA147" i="21"/>
  <c r="Z274" i="21"/>
  <c r="AA144" i="21"/>
  <c r="X145" i="21"/>
  <c r="Z145" i="21" s="1"/>
  <c r="AA295" i="21"/>
  <c r="Z260" i="21"/>
  <c r="AA281" i="21"/>
  <c r="AA277" i="21"/>
  <c r="X212" i="21"/>
  <c r="Z276" i="21"/>
  <c r="Z163" i="21"/>
  <c r="X289" i="21"/>
  <c r="X257" i="21"/>
  <c r="X220" i="21"/>
  <c r="X143" i="21"/>
  <c r="AA270" i="21"/>
  <c r="Z270" i="21"/>
  <c r="X298" i="21"/>
  <c r="Z225" i="21"/>
  <c r="AA225" i="21"/>
  <c r="AA222" i="21"/>
  <c r="Z222" i="21"/>
  <c r="AA297" i="21"/>
  <c r="Z297" i="21"/>
  <c r="AA287" i="21"/>
  <c r="Z287" i="21"/>
  <c r="AA263" i="21"/>
  <c r="Z263" i="21"/>
  <c r="X253" i="21"/>
  <c r="X288" i="21"/>
  <c r="X280" i="21"/>
  <c r="X261" i="21"/>
  <c r="X249" i="21"/>
  <c r="Z240" i="21"/>
  <c r="AA240" i="21"/>
  <c r="AA238" i="21"/>
  <c r="Z238" i="21"/>
  <c r="AA223" i="21"/>
  <c r="Z223" i="21"/>
  <c r="AA146" i="21"/>
  <c r="Z146" i="21"/>
  <c r="AA219" i="21"/>
  <c r="Z219" i="21"/>
  <c r="AA215" i="21"/>
  <c r="Z215" i="21"/>
  <c r="AA278" i="21"/>
  <c r="Z278" i="21"/>
  <c r="AA290" i="21"/>
  <c r="Z290" i="21"/>
  <c r="X235" i="21"/>
  <c r="AA286" i="21"/>
  <c r="Z286" i="21"/>
  <c r="Z244" i="21"/>
  <c r="AA244" i="21"/>
  <c r="X231" i="21"/>
  <c r="Z255" i="21"/>
  <c r="AA255" i="21"/>
  <c r="AA218" i="21"/>
  <c r="Z218" i="21"/>
  <c r="AA141" i="21"/>
  <c r="Z141" i="21"/>
  <c r="AA214" i="21"/>
  <c r="Z214" i="21"/>
  <c r="AA145" i="21"/>
  <c r="AA296" i="21"/>
  <c r="Z296" i="21"/>
  <c r="AA279" i="21"/>
  <c r="Z279" i="21"/>
  <c r="X246" i="21"/>
  <c r="AA237" i="21"/>
  <c r="Z237" i="21"/>
  <c r="Z267" i="21"/>
  <c r="AA267" i="21"/>
  <c r="X294" i="21"/>
  <c r="X265" i="21"/>
  <c r="AA251" i="21"/>
  <c r="Z251" i="21"/>
  <c r="AA259" i="21"/>
  <c r="Z259" i="21"/>
  <c r="AA271" i="21"/>
  <c r="Z271" i="21"/>
  <c r="X242" i="21"/>
  <c r="AA234" i="21"/>
  <c r="Z234" i="21"/>
  <c r="AA229" i="21"/>
  <c r="Z229" i="21"/>
  <c r="AA233" i="21"/>
  <c r="Z233" i="21"/>
  <c r="AA142" i="21"/>
  <c r="Z142" i="21"/>
  <c r="Z275" i="21" l="1"/>
  <c r="Z212" i="21"/>
  <c r="AA212" i="21"/>
  <c r="Z143" i="21"/>
  <c r="AA143" i="21"/>
  <c r="Z257" i="21"/>
  <c r="AA257" i="21"/>
  <c r="AA220" i="21"/>
  <c r="Z220" i="21"/>
  <c r="Z289" i="21"/>
  <c r="AA289" i="21"/>
  <c r="AA242" i="21"/>
  <c r="Z242" i="21"/>
  <c r="Z265" i="21"/>
  <c r="AA265" i="21"/>
  <c r="Z261" i="21"/>
  <c r="AA261" i="21"/>
  <c r="AA288" i="21"/>
  <c r="Z288" i="21"/>
  <c r="AA294" i="21"/>
  <c r="Z294" i="21"/>
  <c r="AA246" i="21"/>
  <c r="Z246" i="21"/>
  <c r="AA231" i="21"/>
  <c r="Z231" i="21"/>
  <c r="AA235" i="21"/>
  <c r="Z235" i="21"/>
  <c r="Z249" i="21"/>
  <c r="AA249" i="21"/>
  <c r="AA280" i="21"/>
  <c r="Z280" i="21"/>
  <c r="Z253" i="21"/>
  <c r="AA253" i="21"/>
  <c r="AA298" i="21"/>
  <c r="Z298" i="21"/>
  <c r="F5" i="17" l="1"/>
  <c r="F6" i="17"/>
  <c r="F7" i="17"/>
  <c r="F8" i="17"/>
  <c r="F9" i="17"/>
  <c r="F10" i="17"/>
  <c r="F11" i="17"/>
  <c r="F4" i="17"/>
  <c r="N5" i="17" s="1"/>
  <c r="R5" i="17" s="1"/>
  <c r="J10" i="17"/>
  <c r="J7" i="17"/>
  <c r="N9" i="17" s="1"/>
  <c r="J4" i="17"/>
  <c r="AC138" i="7"/>
  <c r="AC137" i="7"/>
  <c r="AC136" i="7"/>
  <c r="AC135" i="7"/>
  <c r="AC134" i="7"/>
  <c r="AC133" i="7"/>
  <c r="AC132" i="7"/>
  <c r="AC131" i="7"/>
  <c r="AC130" i="7"/>
  <c r="AC129" i="7"/>
  <c r="AC128" i="7"/>
  <c r="AC127" i="7"/>
  <c r="AC126" i="7"/>
  <c r="AC125" i="7"/>
  <c r="AC124" i="7"/>
  <c r="AC123" i="7"/>
  <c r="AC122" i="7"/>
  <c r="AC121" i="7"/>
  <c r="AC120" i="7"/>
  <c r="AC119" i="7"/>
  <c r="AC118" i="7"/>
  <c r="AC117" i="7"/>
  <c r="AC116" i="7"/>
  <c r="AC115" i="7"/>
  <c r="AC114" i="7"/>
  <c r="AC113" i="7"/>
  <c r="AC112" i="7"/>
  <c r="AC111" i="7"/>
  <c r="AC110" i="7"/>
  <c r="AC109" i="7"/>
  <c r="AC108" i="7"/>
  <c r="AC107" i="7"/>
  <c r="AC106" i="7"/>
  <c r="AC105" i="7"/>
  <c r="AC104" i="7"/>
  <c r="AC103" i="7"/>
  <c r="AC102" i="7"/>
  <c r="AC101" i="7"/>
  <c r="AC100" i="7"/>
  <c r="AC99" i="7"/>
  <c r="AC98" i="7"/>
  <c r="AC97" i="7"/>
  <c r="AC96" i="7"/>
  <c r="AC95" i="7"/>
  <c r="AC94" i="7"/>
  <c r="AC93" i="7"/>
  <c r="AC92" i="7"/>
  <c r="AC91" i="7"/>
  <c r="AC90" i="7"/>
  <c r="AC89" i="7"/>
  <c r="AC88" i="7"/>
  <c r="AC87" i="7"/>
  <c r="AC86" i="7"/>
  <c r="AC85" i="7"/>
  <c r="AC84" i="7"/>
  <c r="AC83" i="7"/>
  <c r="AC82" i="7"/>
  <c r="AC81" i="7"/>
  <c r="AC80" i="7"/>
  <c r="AC79" i="7"/>
  <c r="AC78" i="7"/>
  <c r="AC77" i="7"/>
  <c r="AC76" i="7"/>
  <c r="AC75" i="7"/>
  <c r="AC74" i="7"/>
  <c r="AC73" i="7"/>
  <c r="AC72" i="7"/>
  <c r="AC71" i="7"/>
  <c r="AC70" i="7"/>
  <c r="AC69" i="7"/>
  <c r="AC68" i="7"/>
  <c r="AC67" i="7"/>
  <c r="AC66" i="7"/>
  <c r="AC65" i="7"/>
  <c r="AC64" i="7"/>
  <c r="AC63" i="7"/>
  <c r="AC62" i="7"/>
  <c r="AC61" i="7"/>
  <c r="AC60" i="7"/>
  <c r="AC59" i="7"/>
  <c r="AC58" i="7"/>
  <c r="AC57" i="7"/>
  <c r="AC56" i="7"/>
  <c r="AC55" i="7"/>
  <c r="AC54" i="7"/>
  <c r="AC53" i="7"/>
  <c r="AC52" i="7"/>
  <c r="AC51" i="7"/>
  <c r="AC50" i="7"/>
  <c r="AC49" i="7"/>
  <c r="AC48" i="7"/>
  <c r="AC47" i="7"/>
  <c r="AC46" i="7"/>
  <c r="AC45" i="7"/>
  <c r="AC44" i="7"/>
  <c r="AC43" i="7"/>
  <c r="AC42" i="7"/>
  <c r="AC41" i="7"/>
  <c r="AC40" i="7"/>
  <c r="AC39" i="7"/>
  <c r="AC38" i="7"/>
  <c r="AC37" i="7"/>
  <c r="AC36" i="7"/>
  <c r="AC35" i="7"/>
  <c r="AC34" i="7"/>
  <c r="AC33" i="7"/>
  <c r="AC32" i="7"/>
  <c r="AC31" i="7"/>
  <c r="AC30" i="7"/>
  <c r="AC29" i="7"/>
  <c r="AC28" i="7"/>
  <c r="AC27" i="7"/>
  <c r="AC26" i="7"/>
  <c r="AC25" i="7"/>
  <c r="AC24" i="7"/>
  <c r="AC23" i="7"/>
  <c r="AC22" i="7"/>
  <c r="AC21" i="7"/>
  <c r="AC20" i="7"/>
  <c r="AC19" i="7"/>
  <c r="AC18" i="7"/>
  <c r="AC17" i="7"/>
  <c r="AC16" i="7"/>
  <c r="AC15" i="7"/>
  <c r="AC14" i="7"/>
  <c r="AC13" i="7"/>
  <c r="AC12" i="7"/>
  <c r="AC11" i="7"/>
  <c r="AC10" i="7"/>
  <c r="AC9" i="7"/>
  <c r="AC8" i="7"/>
  <c r="AC7" i="7"/>
  <c r="AC6" i="7"/>
  <c r="AC5" i="7"/>
  <c r="AC4" i="7"/>
  <c r="AB138" i="7"/>
  <c r="AB137" i="7"/>
  <c r="AB136" i="7"/>
  <c r="AB135" i="7"/>
  <c r="AB134" i="7"/>
  <c r="AB133" i="7"/>
  <c r="AB132" i="7"/>
  <c r="AB131" i="7"/>
  <c r="AB130" i="7"/>
  <c r="AB129" i="7"/>
  <c r="AB128" i="7"/>
  <c r="AB127" i="7"/>
  <c r="AB126" i="7"/>
  <c r="AB125" i="7"/>
  <c r="AB124" i="7"/>
  <c r="AB123" i="7"/>
  <c r="AB122" i="7"/>
  <c r="AB121" i="7"/>
  <c r="AB120" i="7"/>
  <c r="AB119" i="7"/>
  <c r="AB118" i="7"/>
  <c r="AB117" i="7"/>
  <c r="AB116" i="7"/>
  <c r="AB115" i="7"/>
  <c r="AB114" i="7"/>
  <c r="AB113" i="7"/>
  <c r="AB112" i="7"/>
  <c r="AB111" i="7"/>
  <c r="AB110" i="7"/>
  <c r="AB109" i="7"/>
  <c r="AB108" i="7"/>
  <c r="AB107" i="7"/>
  <c r="AB106" i="7"/>
  <c r="AB105" i="7"/>
  <c r="AB104" i="7"/>
  <c r="AB103" i="7"/>
  <c r="AB102" i="7"/>
  <c r="AB101" i="7"/>
  <c r="AB100" i="7"/>
  <c r="AB99" i="7"/>
  <c r="AB98" i="7"/>
  <c r="AB97" i="7"/>
  <c r="AB96" i="7"/>
  <c r="AB95" i="7"/>
  <c r="AB94" i="7"/>
  <c r="AB93" i="7"/>
  <c r="AB92" i="7"/>
  <c r="AB91" i="7"/>
  <c r="AB90" i="7"/>
  <c r="AB89" i="7"/>
  <c r="AB88" i="7"/>
  <c r="AB87" i="7"/>
  <c r="AB86" i="7"/>
  <c r="AB85" i="7"/>
  <c r="AB84" i="7"/>
  <c r="AB83" i="7"/>
  <c r="AB82" i="7"/>
  <c r="AB81" i="7"/>
  <c r="AB80" i="7"/>
  <c r="AB79" i="7"/>
  <c r="AB78" i="7"/>
  <c r="AB77" i="7"/>
  <c r="AB76" i="7"/>
  <c r="AB75" i="7"/>
  <c r="AB74" i="7"/>
  <c r="AB73" i="7"/>
  <c r="AB72" i="7"/>
  <c r="AB71" i="7"/>
  <c r="AB70" i="7"/>
  <c r="AB69" i="7"/>
  <c r="AB68" i="7"/>
  <c r="AB67" i="7"/>
  <c r="AB66" i="7"/>
  <c r="AB65" i="7"/>
  <c r="AB64" i="7"/>
  <c r="AB63" i="7"/>
  <c r="AB62" i="7"/>
  <c r="AB61" i="7"/>
  <c r="AB60" i="7"/>
  <c r="AB59" i="7"/>
  <c r="AB58" i="7"/>
  <c r="AB57" i="7"/>
  <c r="AB56" i="7"/>
  <c r="AB55" i="7"/>
  <c r="AB54" i="7"/>
  <c r="AB53" i="7"/>
  <c r="AB52" i="7"/>
  <c r="AB51" i="7"/>
  <c r="AB50" i="7"/>
  <c r="AB49" i="7"/>
  <c r="AB48" i="7"/>
  <c r="AB47" i="7"/>
  <c r="AB46" i="7"/>
  <c r="AB45" i="7"/>
  <c r="AB44" i="7"/>
  <c r="AB43" i="7"/>
  <c r="AB42" i="7"/>
  <c r="AB41" i="7"/>
  <c r="AB40" i="7"/>
  <c r="AB39" i="7"/>
  <c r="AB38" i="7"/>
  <c r="AB37" i="7"/>
  <c r="AB36" i="7"/>
  <c r="AB35" i="7"/>
  <c r="AB34" i="7"/>
  <c r="AB33" i="7"/>
  <c r="AB32" i="7"/>
  <c r="AB31" i="7"/>
  <c r="AB30" i="7"/>
  <c r="AB29" i="7"/>
  <c r="AB28" i="7"/>
  <c r="AB27" i="7"/>
  <c r="AB26" i="7"/>
  <c r="AB25" i="7"/>
  <c r="AB24" i="7"/>
  <c r="AB23" i="7"/>
  <c r="AB22" i="7"/>
  <c r="AB21" i="7"/>
  <c r="AB20" i="7"/>
  <c r="AB19" i="7"/>
  <c r="AB18" i="7"/>
  <c r="AB17" i="7"/>
  <c r="AB16" i="7"/>
  <c r="AB15" i="7"/>
  <c r="AB14" i="7"/>
  <c r="AB13" i="7"/>
  <c r="AB12" i="7"/>
  <c r="AB11" i="7"/>
  <c r="AB10" i="7"/>
  <c r="AB9" i="7"/>
  <c r="AB8" i="7"/>
  <c r="AB7" i="7"/>
  <c r="AB6" i="7"/>
  <c r="AB5" i="7"/>
  <c r="AB4" i="7"/>
  <c r="Z138" i="7"/>
  <c r="Z137" i="7"/>
  <c r="Z136" i="7"/>
  <c r="Z135" i="7"/>
  <c r="Z134" i="7"/>
  <c r="Z133" i="7"/>
  <c r="Z132" i="7"/>
  <c r="Z131" i="7"/>
  <c r="Z130" i="7"/>
  <c r="Z129" i="7"/>
  <c r="Z128" i="7"/>
  <c r="Z127" i="7"/>
  <c r="Z126" i="7"/>
  <c r="Z125" i="7"/>
  <c r="Z124" i="7"/>
  <c r="Z123" i="7"/>
  <c r="Z122" i="7"/>
  <c r="Z121" i="7"/>
  <c r="Z120" i="7"/>
  <c r="Z119" i="7"/>
  <c r="Z118" i="7"/>
  <c r="Z117" i="7"/>
  <c r="Z116" i="7"/>
  <c r="Z115" i="7"/>
  <c r="Z114" i="7"/>
  <c r="Z113" i="7"/>
  <c r="Z112" i="7"/>
  <c r="Z111" i="7"/>
  <c r="Z110" i="7"/>
  <c r="Z109" i="7"/>
  <c r="Z108" i="7"/>
  <c r="Z107" i="7"/>
  <c r="Z106" i="7"/>
  <c r="Z105" i="7"/>
  <c r="Z104" i="7"/>
  <c r="Z103" i="7"/>
  <c r="Z102" i="7"/>
  <c r="Z101" i="7"/>
  <c r="Z100" i="7"/>
  <c r="Z99" i="7"/>
  <c r="Z98" i="7"/>
  <c r="Z97" i="7"/>
  <c r="Z96" i="7"/>
  <c r="Z95" i="7"/>
  <c r="Z94" i="7"/>
  <c r="Z93" i="7"/>
  <c r="Z92" i="7"/>
  <c r="Z91" i="7"/>
  <c r="Z90" i="7"/>
  <c r="Z89" i="7"/>
  <c r="Z88" i="7"/>
  <c r="Z87" i="7"/>
  <c r="Z86" i="7"/>
  <c r="Z85" i="7"/>
  <c r="Z84" i="7"/>
  <c r="Z83" i="7"/>
  <c r="Z82" i="7"/>
  <c r="Z81" i="7"/>
  <c r="Z80" i="7"/>
  <c r="Z79" i="7"/>
  <c r="Z78" i="7"/>
  <c r="Z77" i="7"/>
  <c r="Z76" i="7"/>
  <c r="Z75" i="7"/>
  <c r="Z74" i="7"/>
  <c r="Z73" i="7"/>
  <c r="Z72" i="7"/>
  <c r="Z71" i="7"/>
  <c r="Z70" i="7"/>
  <c r="Z69" i="7"/>
  <c r="Z68" i="7"/>
  <c r="Z67" i="7"/>
  <c r="Z66" i="7"/>
  <c r="Z65" i="7"/>
  <c r="Z64" i="7"/>
  <c r="Z63" i="7"/>
  <c r="Z62" i="7"/>
  <c r="Z61" i="7"/>
  <c r="Z60" i="7"/>
  <c r="Z59" i="7"/>
  <c r="Z58" i="7"/>
  <c r="Z57" i="7"/>
  <c r="Z56" i="7"/>
  <c r="Z55" i="7"/>
  <c r="Z54" i="7"/>
  <c r="Z53" i="7"/>
  <c r="Z52" i="7"/>
  <c r="Z51" i="7"/>
  <c r="Z50" i="7"/>
  <c r="Z49" i="7"/>
  <c r="Z48" i="7"/>
  <c r="Z47" i="7"/>
  <c r="Z46" i="7"/>
  <c r="Z45" i="7"/>
  <c r="Z44" i="7"/>
  <c r="Z43" i="7"/>
  <c r="Z42" i="7"/>
  <c r="Z41" i="7"/>
  <c r="Z40" i="7"/>
  <c r="Z39" i="7"/>
  <c r="Z38" i="7"/>
  <c r="Z37" i="7"/>
  <c r="Z36" i="7"/>
  <c r="Z35" i="7"/>
  <c r="Z34" i="7"/>
  <c r="Z33" i="7"/>
  <c r="Z32" i="7"/>
  <c r="Z31" i="7"/>
  <c r="Z30" i="7"/>
  <c r="Z29" i="7"/>
  <c r="Z28" i="7"/>
  <c r="Z27" i="7"/>
  <c r="Z26" i="7"/>
  <c r="Z25" i="7"/>
  <c r="Z24" i="7"/>
  <c r="Z23" i="7"/>
  <c r="Z22" i="7"/>
  <c r="Z21" i="7"/>
  <c r="Z20" i="7"/>
  <c r="Z19" i="7"/>
  <c r="Z18" i="7"/>
  <c r="Z17" i="7"/>
  <c r="Z16" i="7"/>
  <c r="Z15" i="7"/>
  <c r="Z14" i="7"/>
  <c r="Z13" i="7"/>
  <c r="Z12" i="7"/>
  <c r="Z11" i="7"/>
  <c r="Z10" i="7"/>
  <c r="Z9" i="7"/>
  <c r="Z8" i="7"/>
  <c r="Z7" i="7"/>
  <c r="Z6" i="7"/>
  <c r="Z5" i="7"/>
  <c r="Z4" i="7"/>
  <c r="Y138" i="7"/>
  <c r="Y137" i="7"/>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5" i="7"/>
  <c r="Y54" i="7"/>
  <c r="Y53" i="7"/>
  <c r="Y52" i="7"/>
  <c r="Y51" i="7"/>
  <c r="Y50" i="7"/>
  <c r="Y49" i="7"/>
  <c r="Y48" i="7"/>
  <c r="Y47" i="7"/>
  <c r="Y46" i="7"/>
  <c r="Y45" i="7"/>
  <c r="Y44" i="7"/>
  <c r="Y43" i="7"/>
  <c r="Y42" i="7"/>
  <c r="Y41" i="7"/>
  <c r="Y40" i="7"/>
  <c r="Y39" i="7"/>
  <c r="Y38" i="7"/>
  <c r="Y37" i="7"/>
  <c r="Y36" i="7"/>
  <c r="Y35" i="7"/>
  <c r="Y34" i="7"/>
  <c r="Y33" i="7"/>
  <c r="Y32" i="7"/>
  <c r="Y31" i="7"/>
  <c r="Y30" i="7"/>
  <c r="Y29" i="7"/>
  <c r="Y28" i="7"/>
  <c r="Y27" i="7"/>
  <c r="Y26" i="7"/>
  <c r="Y25" i="7"/>
  <c r="Y24" i="7"/>
  <c r="Y23" i="7"/>
  <c r="Y22" i="7"/>
  <c r="Y21" i="7"/>
  <c r="Y20" i="7"/>
  <c r="Y19" i="7"/>
  <c r="Y18" i="7"/>
  <c r="Y17" i="7"/>
  <c r="Y16" i="7"/>
  <c r="Y15" i="7"/>
  <c r="Y14" i="7"/>
  <c r="Y13" i="7"/>
  <c r="Y12" i="7"/>
  <c r="Y11" i="7"/>
  <c r="Y10" i="7"/>
  <c r="Y9" i="7"/>
  <c r="Y8" i="7"/>
  <c r="Y7" i="7"/>
  <c r="Y6" i="7"/>
  <c r="Y5" i="7"/>
  <c r="Y4" i="7"/>
  <c r="W138" i="7"/>
  <c r="W137" i="7"/>
  <c r="W136" i="7"/>
  <c r="W135" i="7"/>
  <c r="W134" i="7"/>
  <c r="W133" i="7"/>
  <c r="W132" i="7"/>
  <c r="W131" i="7"/>
  <c r="W130" i="7"/>
  <c r="W129" i="7"/>
  <c r="W128" i="7"/>
  <c r="W127" i="7"/>
  <c r="W126" i="7"/>
  <c r="W125" i="7"/>
  <c r="W124" i="7"/>
  <c r="W123" i="7"/>
  <c r="W122" i="7"/>
  <c r="W121" i="7"/>
  <c r="W120" i="7"/>
  <c r="W119" i="7"/>
  <c r="W118" i="7"/>
  <c r="W117" i="7"/>
  <c r="W116" i="7"/>
  <c r="W115" i="7"/>
  <c r="W114" i="7"/>
  <c r="W113" i="7"/>
  <c r="W112" i="7"/>
  <c r="W111" i="7"/>
  <c r="W110" i="7"/>
  <c r="W109" i="7"/>
  <c r="W108" i="7"/>
  <c r="W107" i="7"/>
  <c r="W106" i="7"/>
  <c r="W105" i="7"/>
  <c r="W104" i="7"/>
  <c r="W103" i="7"/>
  <c r="W102" i="7"/>
  <c r="W101" i="7"/>
  <c r="W100" i="7"/>
  <c r="W99" i="7"/>
  <c r="W98" i="7"/>
  <c r="W97" i="7"/>
  <c r="W96" i="7"/>
  <c r="W95" i="7"/>
  <c r="W94" i="7"/>
  <c r="W93" i="7"/>
  <c r="W92" i="7"/>
  <c r="W91" i="7"/>
  <c r="W90" i="7"/>
  <c r="W89" i="7"/>
  <c r="W88" i="7"/>
  <c r="W87" i="7"/>
  <c r="W86" i="7"/>
  <c r="W85" i="7"/>
  <c r="W84" i="7"/>
  <c r="W83" i="7"/>
  <c r="W82" i="7"/>
  <c r="W81" i="7"/>
  <c r="W80" i="7"/>
  <c r="W79" i="7"/>
  <c r="W78" i="7"/>
  <c r="W77" i="7"/>
  <c r="W76" i="7"/>
  <c r="W75" i="7"/>
  <c r="W74" i="7"/>
  <c r="W73" i="7"/>
  <c r="W72" i="7"/>
  <c r="W71" i="7"/>
  <c r="W70" i="7"/>
  <c r="W69" i="7"/>
  <c r="W68" i="7"/>
  <c r="W67" i="7"/>
  <c r="W66" i="7"/>
  <c r="W65" i="7"/>
  <c r="W64" i="7"/>
  <c r="W63" i="7"/>
  <c r="W62" i="7"/>
  <c r="W61" i="7"/>
  <c r="W60" i="7"/>
  <c r="W59" i="7"/>
  <c r="W58" i="7"/>
  <c r="W57" i="7"/>
  <c r="W56" i="7"/>
  <c r="W55" i="7"/>
  <c r="W54" i="7"/>
  <c r="W53" i="7"/>
  <c r="W52" i="7"/>
  <c r="W51" i="7"/>
  <c r="W50" i="7"/>
  <c r="W49" i="7"/>
  <c r="W48" i="7"/>
  <c r="W47" i="7"/>
  <c r="W46" i="7"/>
  <c r="W45" i="7"/>
  <c r="W44" i="7"/>
  <c r="W43" i="7"/>
  <c r="W42" i="7"/>
  <c r="W41" i="7"/>
  <c r="W40" i="7"/>
  <c r="W39" i="7"/>
  <c r="W38" i="7"/>
  <c r="W37" i="7"/>
  <c r="W36" i="7"/>
  <c r="W35" i="7"/>
  <c r="W34" i="7"/>
  <c r="W33" i="7"/>
  <c r="W32" i="7"/>
  <c r="W31" i="7"/>
  <c r="W30" i="7"/>
  <c r="W29" i="7"/>
  <c r="W28" i="7"/>
  <c r="W27" i="7"/>
  <c r="W26" i="7"/>
  <c r="W25" i="7"/>
  <c r="W24" i="7"/>
  <c r="W23" i="7"/>
  <c r="W22" i="7"/>
  <c r="W21" i="7"/>
  <c r="W20" i="7"/>
  <c r="W19" i="7"/>
  <c r="W18" i="7"/>
  <c r="W17" i="7"/>
  <c r="W16" i="7"/>
  <c r="W15" i="7"/>
  <c r="W14" i="7"/>
  <c r="W13" i="7"/>
  <c r="W12" i="7"/>
  <c r="W11" i="7"/>
  <c r="W10" i="7"/>
  <c r="W9" i="7"/>
  <c r="W8" i="7"/>
  <c r="W7" i="7"/>
  <c r="W6" i="7"/>
  <c r="W5" i="7"/>
  <c r="W4" i="7"/>
  <c r="V138" i="7"/>
  <c r="V137" i="7"/>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V14" i="7"/>
  <c r="V13" i="7"/>
  <c r="V12" i="7"/>
  <c r="V11" i="7"/>
  <c r="V10" i="7"/>
  <c r="V9" i="7"/>
  <c r="V8" i="7"/>
  <c r="V7" i="7"/>
  <c r="V6" i="7"/>
  <c r="V5" i="7"/>
  <c r="V4" i="7"/>
  <c r="T138" i="7"/>
  <c r="T137" i="7"/>
  <c r="T136" i="7"/>
  <c r="T135" i="7"/>
  <c r="T134" i="7"/>
  <c r="T133" i="7"/>
  <c r="T132" i="7"/>
  <c r="T131" i="7"/>
  <c r="T130" i="7"/>
  <c r="T129" i="7"/>
  <c r="T128" i="7"/>
  <c r="T127" i="7"/>
  <c r="T126" i="7"/>
  <c r="T125" i="7"/>
  <c r="T124" i="7"/>
  <c r="T123" i="7"/>
  <c r="T122" i="7"/>
  <c r="T121" i="7"/>
  <c r="T120" i="7"/>
  <c r="T119" i="7"/>
  <c r="T118" i="7"/>
  <c r="T117" i="7"/>
  <c r="T116" i="7"/>
  <c r="T115" i="7"/>
  <c r="T114" i="7"/>
  <c r="T113" i="7"/>
  <c r="T112" i="7"/>
  <c r="T111" i="7"/>
  <c r="T110" i="7"/>
  <c r="T109" i="7"/>
  <c r="T108" i="7"/>
  <c r="T107" i="7"/>
  <c r="T106" i="7"/>
  <c r="T105" i="7"/>
  <c r="T104" i="7"/>
  <c r="T103" i="7"/>
  <c r="T102" i="7"/>
  <c r="T101" i="7"/>
  <c r="T100" i="7"/>
  <c r="T99" i="7"/>
  <c r="T98" i="7"/>
  <c r="T97" i="7"/>
  <c r="T96" i="7"/>
  <c r="T95" i="7"/>
  <c r="T94" i="7"/>
  <c r="T93" i="7"/>
  <c r="T92" i="7"/>
  <c r="T91" i="7"/>
  <c r="T90" i="7"/>
  <c r="T89" i="7"/>
  <c r="T88" i="7"/>
  <c r="T87" i="7"/>
  <c r="T86" i="7"/>
  <c r="T85" i="7"/>
  <c r="T84" i="7"/>
  <c r="T83" i="7"/>
  <c r="T82" i="7"/>
  <c r="T81" i="7"/>
  <c r="T80" i="7"/>
  <c r="T79" i="7"/>
  <c r="T78" i="7"/>
  <c r="T77" i="7"/>
  <c r="T76" i="7"/>
  <c r="T75" i="7"/>
  <c r="T74" i="7"/>
  <c r="T73" i="7"/>
  <c r="T72" i="7"/>
  <c r="T71" i="7"/>
  <c r="T70" i="7"/>
  <c r="T69" i="7"/>
  <c r="T68" i="7"/>
  <c r="T67" i="7"/>
  <c r="T66" i="7"/>
  <c r="T65" i="7"/>
  <c r="T64" i="7"/>
  <c r="T63" i="7"/>
  <c r="T62" i="7"/>
  <c r="T61" i="7"/>
  <c r="T60" i="7"/>
  <c r="T59" i="7"/>
  <c r="T58" i="7"/>
  <c r="T57" i="7"/>
  <c r="T56" i="7"/>
  <c r="T55" i="7"/>
  <c r="T54" i="7"/>
  <c r="T53" i="7"/>
  <c r="T52" i="7"/>
  <c r="T51" i="7"/>
  <c r="T50" i="7"/>
  <c r="T49" i="7"/>
  <c r="T48" i="7"/>
  <c r="T47" i="7"/>
  <c r="T46" i="7"/>
  <c r="T45" i="7"/>
  <c r="T44" i="7"/>
  <c r="T43" i="7"/>
  <c r="T42" i="7"/>
  <c r="T41" i="7"/>
  <c r="T40" i="7"/>
  <c r="T39" i="7"/>
  <c r="T38" i="7"/>
  <c r="T37" i="7"/>
  <c r="T36" i="7"/>
  <c r="T35" i="7"/>
  <c r="T34" i="7"/>
  <c r="T33" i="7"/>
  <c r="T32" i="7"/>
  <c r="T31" i="7"/>
  <c r="T30" i="7"/>
  <c r="T29" i="7"/>
  <c r="T28" i="7"/>
  <c r="T27" i="7"/>
  <c r="T26" i="7"/>
  <c r="T25" i="7"/>
  <c r="T24" i="7"/>
  <c r="T23" i="7"/>
  <c r="T22" i="7"/>
  <c r="T21" i="7"/>
  <c r="T20" i="7"/>
  <c r="T19" i="7"/>
  <c r="T18" i="7"/>
  <c r="T17" i="7"/>
  <c r="T16" i="7"/>
  <c r="T15" i="7"/>
  <c r="T14" i="7"/>
  <c r="T13" i="7"/>
  <c r="T12" i="7"/>
  <c r="T11" i="7"/>
  <c r="T10" i="7"/>
  <c r="T9" i="7"/>
  <c r="T8" i="7"/>
  <c r="T7" i="7"/>
  <c r="T6" i="7"/>
  <c r="T5"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S8" i="7"/>
  <c r="S7" i="7"/>
  <c r="S6" i="7"/>
  <c r="S5" i="7"/>
  <c r="AC375" i="7" l="1"/>
  <c r="W375" i="7"/>
  <c r="T375" i="7"/>
  <c r="Z375" i="7"/>
  <c r="Z373" i="7"/>
  <c r="AC373" i="7"/>
  <c r="W373" i="7"/>
  <c r="T373" i="7"/>
  <c r="R10" i="17"/>
  <c r="O9" i="17"/>
  <c r="P6" i="17"/>
  <c r="L8" i="17"/>
  <c r="P9" i="17"/>
  <c r="N6" i="17"/>
  <c r="N7" i="17" s="1"/>
  <c r="W76" i="21"/>
  <c r="W80" i="21"/>
  <c r="W84" i="21"/>
  <c r="W88" i="21"/>
  <c r="W92" i="21"/>
  <c r="W96" i="21"/>
  <c r="W100" i="21"/>
  <c r="W104" i="21"/>
  <c r="W108" i="21"/>
  <c r="W112" i="21"/>
  <c r="W116" i="21"/>
  <c r="W120" i="21"/>
  <c r="W124" i="21"/>
  <c r="W128" i="21"/>
  <c r="W132" i="21"/>
  <c r="W4" i="21"/>
  <c r="W8" i="21"/>
  <c r="W12" i="21"/>
  <c r="W16" i="21"/>
  <c r="W20" i="21"/>
  <c r="W24" i="21"/>
  <c r="W28" i="21"/>
  <c r="W32" i="21"/>
  <c r="W36" i="21"/>
  <c r="W40" i="21"/>
  <c r="W44" i="21"/>
  <c r="W48" i="21"/>
  <c r="W52" i="21"/>
  <c r="W56" i="21"/>
  <c r="W60" i="21"/>
  <c r="W64" i="21"/>
  <c r="W68" i="21"/>
  <c r="W72" i="21"/>
  <c r="U5" i="7"/>
  <c r="T5" i="21"/>
  <c r="U17" i="7"/>
  <c r="T17" i="21"/>
  <c r="U29" i="7"/>
  <c r="T29" i="21"/>
  <c r="U41" i="7"/>
  <c r="T41" i="21"/>
  <c r="U53" i="7"/>
  <c r="T53" i="21"/>
  <c r="U65" i="7"/>
  <c r="T65" i="21"/>
  <c r="U77" i="7"/>
  <c r="T77" i="21"/>
  <c r="U89" i="7"/>
  <c r="T89" i="21"/>
  <c r="U101" i="7"/>
  <c r="T101" i="21"/>
  <c r="U113" i="7"/>
  <c r="T113" i="21"/>
  <c r="U125" i="7"/>
  <c r="T125" i="21"/>
  <c r="U137" i="7"/>
  <c r="T137" i="21"/>
  <c r="X136" i="7"/>
  <c r="W136" i="21"/>
  <c r="U14" i="7"/>
  <c r="T14" i="21"/>
  <c r="U26" i="7"/>
  <c r="T26" i="21"/>
  <c r="U38" i="7"/>
  <c r="T38" i="21"/>
  <c r="U50" i="7"/>
  <c r="T50" i="21"/>
  <c r="U62" i="7"/>
  <c r="T62" i="21"/>
  <c r="U74" i="7"/>
  <c r="T74" i="21"/>
  <c r="U86" i="7"/>
  <c r="T86" i="21"/>
  <c r="U98" i="7"/>
  <c r="T98" i="21"/>
  <c r="U110" i="7"/>
  <c r="T110" i="21"/>
  <c r="U122" i="7"/>
  <c r="T122" i="21"/>
  <c r="U134" i="7"/>
  <c r="T134" i="21"/>
  <c r="X9" i="7"/>
  <c r="W9" i="21"/>
  <c r="X21" i="7"/>
  <c r="W21" i="21"/>
  <c r="X33" i="7"/>
  <c r="W33" i="21"/>
  <c r="X45" i="7"/>
  <c r="W45" i="21"/>
  <c r="X57" i="7"/>
  <c r="W57" i="21"/>
  <c r="X69" i="7"/>
  <c r="W69" i="21"/>
  <c r="X81" i="7"/>
  <c r="W81" i="21"/>
  <c r="X93" i="7"/>
  <c r="W93" i="21"/>
  <c r="X105" i="7"/>
  <c r="W105" i="21"/>
  <c r="X117" i="7"/>
  <c r="W117" i="21"/>
  <c r="X129" i="7"/>
  <c r="W129" i="21"/>
  <c r="AD5" i="7"/>
  <c r="AC5" i="21"/>
  <c r="AD9" i="7"/>
  <c r="AC9" i="21"/>
  <c r="AD13" i="7"/>
  <c r="AC13" i="21"/>
  <c r="AD17" i="7"/>
  <c r="AC17" i="21"/>
  <c r="AD21" i="7"/>
  <c r="AC21" i="21"/>
  <c r="AD25" i="7"/>
  <c r="AC25" i="21"/>
  <c r="AD29" i="7"/>
  <c r="AC29" i="21"/>
  <c r="AD33" i="7"/>
  <c r="AC33" i="21"/>
  <c r="AD37" i="7"/>
  <c r="AC37" i="21"/>
  <c r="AD41" i="7"/>
  <c r="AC41" i="21"/>
  <c r="AD45" i="7"/>
  <c r="AC45" i="21"/>
  <c r="AD49" i="7"/>
  <c r="AC49" i="21"/>
  <c r="AD53" i="7"/>
  <c r="AC53" i="21"/>
  <c r="AD57" i="7"/>
  <c r="AC57" i="21"/>
  <c r="AD61" i="7"/>
  <c r="AC61" i="21"/>
  <c r="AD65" i="7"/>
  <c r="AC65" i="21"/>
  <c r="AD69" i="7"/>
  <c r="AC69" i="21"/>
  <c r="AD73" i="7"/>
  <c r="AC73" i="21"/>
  <c r="AD77" i="7"/>
  <c r="AC77" i="21"/>
  <c r="AD81" i="7"/>
  <c r="AC81" i="21"/>
  <c r="AD85" i="7"/>
  <c r="AC85" i="21"/>
  <c r="AD89" i="7"/>
  <c r="AC89" i="21"/>
  <c r="AD93" i="7"/>
  <c r="AC93" i="21"/>
  <c r="AD97" i="7"/>
  <c r="AC97" i="21"/>
  <c r="AD101" i="7"/>
  <c r="AC101" i="21"/>
  <c r="AD105" i="7"/>
  <c r="AC105" i="21"/>
  <c r="AD109" i="7"/>
  <c r="AC109" i="21"/>
  <c r="AD113" i="7"/>
  <c r="AC113" i="21"/>
  <c r="AD117" i="7"/>
  <c r="AC117" i="21"/>
  <c r="AD121" i="7"/>
  <c r="AC121" i="21"/>
  <c r="AD125" i="7"/>
  <c r="AC125" i="21"/>
  <c r="AD129" i="7"/>
  <c r="AC129" i="21"/>
  <c r="AD133" i="7"/>
  <c r="AC133" i="21"/>
  <c r="AD137" i="7"/>
  <c r="AC137" i="21"/>
  <c r="U13" i="7"/>
  <c r="T13" i="21"/>
  <c r="U25" i="7"/>
  <c r="T25" i="21"/>
  <c r="U37" i="7"/>
  <c r="T37" i="21"/>
  <c r="U49" i="7"/>
  <c r="T49" i="21"/>
  <c r="U61" i="7"/>
  <c r="T61" i="21"/>
  <c r="U73" i="7"/>
  <c r="T73" i="21"/>
  <c r="U85" i="7"/>
  <c r="T85" i="21"/>
  <c r="U97" i="7"/>
  <c r="T97" i="21"/>
  <c r="U109" i="7"/>
  <c r="T109" i="21"/>
  <c r="U121" i="7"/>
  <c r="T121" i="21"/>
  <c r="U129" i="7"/>
  <c r="T129" i="21"/>
  <c r="U10" i="7"/>
  <c r="T10" i="21"/>
  <c r="U22" i="7"/>
  <c r="T22" i="21"/>
  <c r="U34" i="7"/>
  <c r="T34" i="21"/>
  <c r="U46" i="7"/>
  <c r="T46" i="21"/>
  <c r="U58" i="7"/>
  <c r="T58" i="21"/>
  <c r="U66" i="7"/>
  <c r="T66" i="21"/>
  <c r="U78" i="7"/>
  <c r="T78" i="21"/>
  <c r="U90" i="7"/>
  <c r="T90" i="21"/>
  <c r="U102" i="7"/>
  <c r="T102" i="21"/>
  <c r="U114" i="7"/>
  <c r="T114" i="21"/>
  <c r="U126" i="7"/>
  <c r="T126" i="21"/>
  <c r="U138" i="7"/>
  <c r="T138" i="21"/>
  <c r="X13" i="7"/>
  <c r="W13" i="21"/>
  <c r="X25" i="7"/>
  <c r="W25" i="21"/>
  <c r="X37" i="7"/>
  <c r="W37" i="21"/>
  <c r="X49" i="7"/>
  <c r="W49" i="21"/>
  <c r="X61" i="7"/>
  <c r="W61" i="21"/>
  <c r="X73" i="7"/>
  <c r="W73" i="21"/>
  <c r="X85" i="7"/>
  <c r="W85" i="21"/>
  <c r="X97" i="7"/>
  <c r="W97" i="21"/>
  <c r="X109" i="7"/>
  <c r="W109" i="21"/>
  <c r="X121" i="7"/>
  <c r="W121" i="21"/>
  <c r="X133" i="7"/>
  <c r="W133" i="21"/>
  <c r="T7" i="21"/>
  <c r="T11" i="21"/>
  <c r="T15" i="21"/>
  <c r="T19" i="21"/>
  <c r="T23" i="21"/>
  <c r="T27" i="21"/>
  <c r="T31" i="21"/>
  <c r="T35" i="21"/>
  <c r="T39" i="21"/>
  <c r="T43" i="21"/>
  <c r="T47" i="21"/>
  <c r="T51" i="21"/>
  <c r="T55" i="21"/>
  <c r="T59" i="21"/>
  <c r="T63" i="21"/>
  <c r="T67" i="21"/>
  <c r="T71" i="21"/>
  <c r="T75" i="21"/>
  <c r="T79" i="21"/>
  <c r="T83" i="21"/>
  <c r="T87" i="21"/>
  <c r="T91" i="21"/>
  <c r="T95" i="21"/>
  <c r="T99" i="21"/>
  <c r="T103" i="21"/>
  <c r="T107" i="21"/>
  <c r="T111" i="21"/>
  <c r="T115" i="21"/>
  <c r="T119" i="21"/>
  <c r="T123" i="21"/>
  <c r="T127" i="21"/>
  <c r="T131" i="21"/>
  <c r="T135" i="21"/>
  <c r="W6" i="21"/>
  <c r="W10" i="21"/>
  <c r="W14" i="21"/>
  <c r="W18" i="21"/>
  <c r="W22" i="21"/>
  <c r="W26" i="21"/>
  <c r="W30" i="21"/>
  <c r="W34" i="21"/>
  <c r="W38" i="21"/>
  <c r="W42" i="21"/>
  <c r="W46" i="21"/>
  <c r="W50" i="21"/>
  <c r="W54" i="21"/>
  <c r="W58" i="21"/>
  <c r="W62" i="21"/>
  <c r="W66" i="21"/>
  <c r="W70" i="21"/>
  <c r="W74" i="21"/>
  <c r="W78" i="21"/>
  <c r="W82" i="21"/>
  <c r="W86" i="21"/>
  <c r="W90" i="21"/>
  <c r="W94" i="21"/>
  <c r="W98" i="21"/>
  <c r="W102" i="21"/>
  <c r="W106" i="21"/>
  <c r="W110" i="21"/>
  <c r="W114" i="21"/>
  <c r="W118" i="21"/>
  <c r="W122" i="21"/>
  <c r="W126" i="21"/>
  <c r="W130" i="21"/>
  <c r="W134" i="21"/>
  <c r="W138" i="21"/>
  <c r="AC6" i="21"/>
  <c r="AC10" i="21"/>
  <c r="AC14" i="21"/>
  <c r="AC18" i="21"/>
  <c r="AC22" i="21"/>
  <c r="AC26" i="21"/>
  <c r="AC30" i="21"/>
  <c r="AC34" i="21"/>
  <c r="AC38" i="21"/>
  <c r="AC42" i="21"/>
  <c r="AC46" i="21"/>
  <c r="AC50" i="21"/>
  <c r="AC54" i="21"/>
  <c r="AC58" i="21"/>
  <c r="AC62" i="21"/>
  <c r="AC66" i="21"/>
  <c r="AC70" i="21"/>
  <c r="AC74" i="21"/>
  <c r="AC78" i="21"/>
  <c r="AC82" i="21"/>
  <c r="AC86" i="21"/>
  <c r="AC90" i="21"/>
  <c r="AC94" i="21"/>
  <c r="AC98" i="21"/>
  <c r="AC102" i="21"/>
  <c r="AC106" i="21"/>
  <c r="AC110" i="21"/>
  <c r="AC114" i="21"/>
  <c r="AC118" i="21"/>
  <c r="AC122" i="21"/>
  <c r="AC126" i="21"/>
  <c r="AC130" i="21"/>
  <c r="AC134" i="21"/>
  <c r="AC138" i="21"/>
  <c r="U9" i="7"/>
  <c r="T9" i="21"/>
  <c r="U21" i="7"/>
  <c r="T21" i="21"/>
  <c r="U33" i="7"/>
  <c r="T33" i="21"/>
  <c r="U45" i="7"/>
  <c r="T45" i="21"/>
  <c r="U57" i="7"/>
  <c r="T57" i="21"/>
  <c r="U69" i="7"/>
  <c r="T69" i="21"/>
  <c r="U81" i="7"/>
  <c r="T81" i="21"/>
  <c r="U93" i="7"/>
  <c r="T93" i="21"/>
  <c r="U105" i="7"/>
  <c r="T105" i="21"/>
  <c r="U117" i="7"/>
  <c r="T117" i="21"/>
  <c r="U133" i="7"/>
  <c r="T133" i="21"/>
  <c r="U6" i="7"/>
  <c r="T6" i="21"/>
  <c r="U18" i="7"/>
  <c r="T18" i="21"/>
  <c r="U30" i="7"/>
  <c r="T30" i="21"/>
  <c r="U42" i="7"/>
  <c r="T42" i="21"/>
  <c r="U54" i="7"/>
  <c r="T54" i="21"/>
  <c r="U70" i="7"/>
  <c r="T70" i="21"/>
  <c r="U82" i="7"/>
  <c r="T82" i="21"/>
  <c r="U94" i="7"/>
  <c r="T94" i="21"/>
  <c r="U106" i="7"/>
  <c r="T106" i="21"/>
  <c r="U118" i="7"/>
  <c r="T118" i="21"/>
  <c r="U130" i="7"/>
  <c r="T130" i="21"/>
  <c r="X5" i="7"/>
  <c r="W5" i="21"/>
  <c r="X17" i="7"/>
  <c r="W17" i="21"/>
  <c r="X29" i="7"/>
  <c r="W29" i="21"/>
  <c r="X41" i="7"/>
  <c r="W41" i="21"/>
  <c r="X53" i="7"/>
  <c r="W53" i="21"/>
  <c r="X65" i="7"/>
  <c r="W65" i="21"/>
  <c r="X77" i="7"/>
  <c r="W77" i="21"/>
  <c r="X89" i="7"/>
  <c r="W89" i="21"/>
  <c r="X101" i="7"/>
  <c r="W101" i="21"/>
  <c r="X113" i="7"/>
  <c r="W113" i="21"/>
  <c r="X125" i="7"/>
  <c r="W125" i="21"/>
  <c r="X137" i="7"/>
  <c r="W137" i="21"/>
  <c r="T8" i="21"/>
  <c r="T12" i="21"/>
  <c r="T16" i="21"/>
  <c r="T20" i="21"/>
  <c r="T24" i="21"/>
  <c r="T28" i="21"/>
  <c r="T32" i="21"/>
  <c r="T36" i="21"/>
  <c r="T40" i="21"/>
  <c r="T44" i="21"/>
  <c r="T48" i="21"/>
  <c r="T52" i="21"/>
  <c r="T56" i="21"/>
  <c r="T60" i="21"/>
  <c r="T64" i="21"/>
  <c r="T68" i="21"/>
  <c r="T72" i="21"/>
  <c r="T76" i="21"/>
  <c r="T80" i="21"/>
  <c r="T84" i="21"/>
  <c r="T88" i="21"/>
  <c r="T92" i="21"/>
  <c r="T96" i="21"/>
  <c r="T100" i="21"/>
  <c r="T104" i="21"/>
  <c r="T108" i="21"/>
  <c r="T112" i="21"/>
  <c r="T116" i="21"/>
  <c r="T120" i="21"/>
  <c r="T124" i="21"/>
  <c r="T128" i="21"/>
  <c r="T132" i="21"/>
  <c r="T136" i="21"/>
  <c r="X7" i="7"/>
  <c r="W7" i="21"/>
  <c r="X11" i="7"/>
  <c r="W11" i="21"/>
  <c r="X15" i="7"/>
  <c r="W15" i="21"/>
  <c r="X19" i="7"/>
  <c r="W19" i="21"/>
  <c r="X23" i="7"/>
  <c r="W23" i="21"/>
  <c r="X27" i="7"/>
  <c r="W27" i="21"/>
  <c r="X31" i="7"/>
  <c r="W31" i="21"/>
  <c r="X35" i="7"/>
  <c r="W35" i="21"/>
  <c r="X39" i="7"/>
  <c r="W39" i="21"/>
  <c r="X43" i="7"/>
  <c r="W43" i="21"/>
  <c r="X47" i="7"/>
  <c r="W47" i="21"/>
  <c r="X51" i="7"/>
  <c r="W51" i="21"/>
  <c r="X55" i="7"/>
  <c r="W55" i="21"/>
  <c r="X59" i="7"/>
  <c r="W59" i="21"/>
  <c r="X63" i="7"/>
  <c r="W63" i="21"/>
  <c r="X67" i="7"/>
  <c r="W67" i="21"/>
  <c r="X71" i="7"/>
  <c r="W71" i="21"/>
  <c r="X75" i="7"/>
  <c r="W75" i="21"/>
  <c r="X79" i="7"/>
  <c r="W79" i="21"/>
  <c r="X83" i="7"/>
  <c r="W83" i="21"/>
  <c r="X87" i="7"/>
  <c r="W87" i="21"/>
  <c r="X91" i="7"/>
  <c r="W91" i="21"/>
  <c r="X95" i="7"/>
  <c r="W95" i="21"/>
  <c r="X99" i="7"/>
  <c r="W99" i="21"/>
  <c r="X103" i="7"/>
  <c r="W103" i="21"/>
  <c r="X107" i="7"/>
  <c r="W107" i="21"/>
  <c r="X111" i="7"/>
  <c r="W111" i="21"/>
  <c r="X115" i="7"/>
  <c r="W115" i="21"/>
  <c r="X119" i="7"/>
  <c r="W119" i="21"/>
  <c r="X123" i="7"/>
  <c r="W123" i="21"/>
  <c r="X127" i="7"/>
  <c r="W127" i="21"/>
  <c r="X131" i="7"/>
  <c r="W131" i="21"/>
  <c r="X135" i="7"/>
  <c r="W135" i="21"/>
  <c r="AD7" i="7"/>
  <c r="AC7" i="21"/>
  <c r="AD11" i="7"/>
  <c r="AC11" i="21"/>
  <c r="AD15" i="7"/>
  <c r="AC15" i="21"/>
  <c r="AD19" i="7"/>
  <c r="AC19" i="21"/>
  <c r="AD23" i="7"/>
  <c r="AC23" i="21"/>
  <c r="AD27" i="7"/>
  <c r="AC27" i="21"/>
  <c r="AD31" i="7"/>
  <c r="AC31" i="21"/>
  <c r="AD35" i="7"/>
  <c r="AC35" i="21"/>
  <c r="AD39" i="7"/>
  <c r="AC39" i="21"/>
  <c r="AD43" i="7"/>
  <c r="AC43" i="21"/>
  <c r="AD47" i="7"/>
  <c r="AC47" i="21"/>
  <c r="AD51" i="7"/>
  <c r="AC51" i="21"/>
  <c r="AD55" i="7"/>
  <c r="AC55" i="21"/>
  <c r="AD59" i="7"/>
  <c r="AC59" i="21"/>
  <c r="AD63" i="7"/>
  <c r="AC63" i="21"/>
  <c r="AD67" i="7"/>
  <c r="AC67" i="21"/>
  <c r="AD71" i="7"/>
  <c r="AC71" i="21"/>
  <c r="AD75" i="7"/>
  <c r="AC75" i="21"/>
  <c r="AD79" i="7"/>
  <c r="AC79" i="21"/>
  <c r="AD83" i="7"/>
  <c r="AC83" i="21"/>
  <c r="AD87" i="7"/>
  <c r="AC87" i="21"/>
  <c r="AD91" i="7"/>
  <c r="AC91" i="21"/>
  <c r="AD95" i="7"/>
  <c r="AC95" i="21"/>
  <c r="AD99" i="7"/>
  <c r="AC99" i="21"/>
  <c r="AD103" i="7"/>
  <c r="AC103" i="21"/>
  <c r="AD107" i="7"/>
  <c r="AC107" i="21"/>
  <c r="AD111" i="7"/>
  <c r="AC111" i="21"/>
  <c r="AD115" i="7"/>
  <c r="AC115" i="21"/>
  <c r="AD119" i="7"/>
  <c r="AC119" i="21"/>
  <c r="AD123" i="7"/>
  <c r="AC123" i="21"/>
  <c r="AD127" i="7"/>
  <c r="AC127" i="21"/>
  <c r="AD131" i="7"/>
  <c r="AC131" i="21"/>
  <c r="AD135" i="7"/>
  <c r="AC135" i="21"/>
  <c r="AD4" i="7"/>
  <c r="AC4" i="21"/>
  <c r="AD8" i="7"/>
  <c r="AC8" i="21"/>
  <c r="AD12" i="7"/>
  <c r="AC12" i="21"/>
  <c r="AD16" i="7"/>
  <c r="AC16" i="21"/>
  <c r="AD20" i="7"/>
  <c r="AC20" i="21"/>
  <c r="AD24" i="7"/>
  <c r="AC24" i="21"/>
  <c r="AD28" i="7"/>
  <c r="AC28" i="21"/>
  <c r="AD32" i="7"/>
  <c r="AC32" i="21"/>
  <c r="AD36" i="7"/>
  <c r="AC36" i="21"/>
  <c r="AD40" i="7"/>
  <c r="AC40" i="21"/>
  <c r="AD44" i="7"/>
  <c r="AC44" i="21"/>
  <c r="AD48" i="7"/>
  <c r="AC48" i="21"/>
  <c r="AD52" i="7"/>
  <c r="AC52" i="21"/>
  <c r="AD56" i="7"/>
  <c r="AC56" i="21"/>
  <c r="AD60" i="7"/>
  <c r="AC60" i="21"/>
  <c r="AD64" i="7"/>
  <c r="AC64" i="21"/>
  <c r="AD68" i="7"/>
  <c r="AC68" i="21"/>
  <c r="AD72" i="7"/>
  <c r="AC72" i="21"/>
  <c r="AD76" i="7"/>
  <c r="AC76" i="21"/>
  <c r="AD80" i="7"/>
  <c r="AC80" i="21"/>
  <c r="AD84" i="7"/>
  <c r="AC84" i="21"/>
  <c r="AD88" i="7"/>
  <c r="AC88" i="21"/>
  <c r="AD92" i="7"/>
  <c r="AC92" i="21"/>
  <c r="AD96" i="7"/>
  <c r="AC96" i="21"/>
  <c r="AD100" i="7"/>
  <c r="AC100" i="21"/>
  <c r="AD104" i="7"/>
  <c r="AC104" i="21"/>
  <c r="AD108" i="7"/>
  <c r="AC108" i="21"/>
  <c r="AD112" i="7"/>
  <c r="AC112" i="21"/>
  <c r="AD116" i="7"/>
  <c r="AC116" i="21"/>
  <c r="AD120" i="7"/>
  <c r="AC120" i="21"/>
  <c r="AD124" i="7"/>
  <c r="AC124" i="21"/>
  <c r="AD128" i="7"/>
  <c r="AC128" i="21"/>
  <c r="AD132" i="7"/>
  <c r="AC132" i="21"/>
  <c r="AD136" i="7"/>
  <c r="AC136" i="21"/>
  <c r="X4" i="7"/>
  <c r="X8" i="7"/>
  <c r="X12" i="7"/>
  <c r="X16" i="7"/>
  <c r="X20" i="7"/>
  <c r="X24" i="7"/>
  <c r="X28" i="7"/>
  <c r="X32" i="7"/>
  <c r="X36" i="7"/>
  <c r="X40" i="7"/>
  <c r="X44" i="7"/>
  <c r="X48" i="7"/>
  <c r="X52" i="7"/>
  <c r="X56" i="7"/>
  <c r="X60" i="7"/>
  <c r="X64" i="7"/>
  <c r="X68" i="7"/>
  <c r="X72" i="7"/>
  <c r="X76" i="7"/>
  <c r="X80" i="7"/>
  <c r="X84" i="7"/>
  <c r="X88" i="7"/>
  <c r="X92" i="7"/>
  <c r="X96" i="7"/>
  <c r="X100" i="7"/>
  <c r="X104" i="7"/>
  <c r="X108" i="7"/>
  <c r="X112" i="7"/>
  <c r="X116" i="7"/>
  <c r="X120" i="7"/>
  <c r="X124" i="7"/>
  <c r="X128" i="7"/>
  <c r="X132" i="7"/>
  <c r="U11" i="7"/>
  <c r="U19" i="7"/>
  <c r="U27" i="7"/>
  <c r="U35" i="7"/>
  <c r="U47" i="7"/>
  <c r="U55" i="7"/>
  <c r="U63" i="7"/>
  <c r="U71" i="7"/>
  <c r="U79" i="7"/>
  <c r="U87" i="7"/>
  <c r="U95" i="7"/>
  <c r="U103" i="7"/>
  <c r="U111" i="7"/>
  <c r="U123" i="7"/>
  <c r="U127" i="7"/>
  <c r="U131" i="7"/>
  <c r="U135" i="7"/>
  <c r="X6" i="7"/>
  <c r="X10" i="7"/>
  <c r="X14" i="7"/>
  <c r="X18" i="7"/>
  <c r="X22" i="7"/>
  <c r="X26" i="7"/>
  <c r="X30" i="7"/>
  <c r="X34" i="7"/>
  <c r="X38" i="7"/>
  <c r="X42" i="7"/>
  <c r="X46" i="7"/>
  <c r="X50" i="7"/>
  <c r="X54" i="7"/>
  <c r="X58" i="7"/>
  <c r="X62" i="7"/>
  <c r="X66" i="7"/>
  <c r="X70" i="7"/>
  <c r="X74" i="7"/>
  <c r="X78" i="7"/>
  <c r="X82" i="7"/>
  <c r="X86" i="7"/>
  <c r="X90" i="7"/>
  <c r="X94" i="7"/>
  <c r="X98" i="7"/>
  <c r="X102" i="7"/>
  <c r="X106" i="7"/>
  <c r="X110" i="7"/>
  <c r="X114" i="7"/>
  <c r="X118" i="7"/>
  <c r="X122" i="7"/>
  <c r="X126" i="7"/>
  <c r="X130" i="7"/>
  <c r="X134" i="7"/>
  <c r="X138" i="7"/>
  <c r="AD6" i="7"/>
  <c r="AD10" i="7"/>
  <c r="AD14" i="7"/>
  <c r="AD18" i="7"/>
  <c r="AD22" i="7"/>
  <c r="AD26" i="7"/>
  <c r="AD30" i="7"/>
  <c r="AD34" i="7"/>
  <c r="AD38" i="7"/>
  <c r="AD42" i="7"/>
  <c r="AD46" i="7"/>
  <c r="AD50" i="7"/>
  <c r="AD54" i="7"/>
  <c r="AD58" i="7"/>
  <c r="AD62" i="7"/>
  <c r="AD66" i="7"/>
  <c r="AD70" i="7"/>
  <c r="AD74" i="7"/>
  <c r="AD78" i="7"/>
  <c r="AD82" i="7"/>
  <c r="AD86" i="7"/>
  <c r="AD90" i="7"/>
  <c r="AD94" i="7"/>
  <c r="AD98" i="7"/>
  <c r="AD102" i="7"/>
  <c r="AD106" i="7"/>
  <c r="AD110" i="7"/>
  <c r="AD114" i="7"/>
  <c r="AD118" i="7"/>
  <c r="AD122" i="7"/>
  <c r="AD126" i="7"/>
  <c r="AD130" i="7"/>
  <c r="AD134" i="7"/>
  <c r="AD138" i="7"/>
  <c r="U7" i="7"/>
  <c r="U15" i="7"/>
  <c r="U23" i="7"/>
  <c r="U31" i="7"/>
  <c r="U39" i="7"/>
  <c r="U43" i="7"/>
  <c r="U51" i="7"/>
  <c r="U59" i="7"/>
  <c r="U67" i="7"/>
  <c r="U75" i="7"/>
  <c r="U83" i="7"/>
  <c r="U91" i="7"/>
  <c r="U99" i="7"/>
  <c r="U107" i="7"/>
  <c r="U115" i="7"/>
  <c r="U119" i="7"/>
  <c r="U8" i="7"/>
  <c r="U12" i="7"/>
  <c r="U16" i="7"/>
  <c r="U20" i="7"/>
  <c r="U24" i="7"/>
  <c r="U28" i="7"/>
  <c r="U32" i="7"/>
  <c r="U36" i="7"/>
  <c r="U40" i="7"/>
  <c r="U44" i="7"/>
  <c r="U48" i="7"/>
  <c r="U52" i="7"/>
  <c r="U56" i="7"/>
  <c r="U60" i="7"/>
  <c r="U64" i="7"/>
  <c r="U68" i="7"/>
  <c r="U72" i="7"/>
  <c r="U76" i="7"/>
  <c r="U80" i="7"/>
  <c r="U84" i="7"/>
  <c r="U88" i="7"/>
  <c r="U92" i="7"/>
  <c r="U96" i="7"/>
  <c r="U100" i="7"/>
  <c r="U104" i="7"/>
  <c r="U108" i="7"/>
  <c r="U112" i="7"/>
  <c r="U116" i="7"/>
  <c r="U120" i="7"/>
  <c r="U124" i="7"/>
  <c r="U128" i="7"/>
  <c r="U132" i="7"/>
  <c r="U136" i="7"/>
  <c r="E2" i="9"/>
  <c r="F2" i="9" s="1"/>
  <c r="E3" i="9"/>
  <c r="F3" i="9" s="1"/>
  <c r="E4" i="9"/>
  <c r="F4" i="9" s="1"/>
  <c r="E5" i="9"/>
  <c r="F5" i="9" s="1"/>
  <c r="E6" i="9"/>
  <c r="F6" i="9" s="1"/>
  <c r="E7" i="9"/>
  <c r="F7" i="9" s="1"/>
  <c r="E8" i="9"/>
  <c r="F8" i="9" s="1"/>
  <c r="E9" i="9"/>
  <c r="F9" i="9" s="1"/>
  <c r="E10" i="9"/>
  <c r="F10" i="9" s="1"/>
  <c r="E11" i="9"/>
  <c r="F11" i="9" s="1"/>
  <c r="E12" i="9"/>
  <c r="F12" i="9" s="1"/>
  <c r="E13" i="9"/>
  <c r="F13" i="9" s="1"/>
  <c r="E14" i="9"/>
  <c r="F14" i="9" s="1"/>
  <c r="E15" i="9"/>
  <c r="F15" i="9" s="1"/>
  <c r="E16" i="9"/>
  <c r="F16" i="9" s="1"/>
  <c r="E17" i="9"/>
  <c r="F17" i="9" s="1"/>
  <c r="E18" i="9"/>
  <c r="F18" i="9" s="1"/>
  <c r="E19" i="9"/>
  <c r="F19" i="9" s="1"/>
  <c r="E20" i="9"/>
  <c r="F20" i="9" s="1"/>
  <c r="E21" i="9"/>
  <c r="F21" i="9" s="1"/>
  <c r="E22" i="9"/>
  <c r="F22" i="9" s="1"/>
  <c r="E23" i="9"/>
  <c r="F23" i="9" s="1"/>
  <c r="E24" i="9"/>
  <c r="F24" i="9" s="1"/>
  <c r="E25" i="9"/>
  <c r="F25" i="9" s="1"/>
  <c r="E26" i="9"/>
  <c r="F26" i="9" s="1"/>
  <c r="E27" i="9"/>
  <c r="F27" i="9" s="1"/>
  <c r="E28" i="9"/>
  <c r="F28" i="9" s="1"/>
  <c r="E29" i="9"/>
  <c r="F29" i="9" s="1"/>
  <c r="E30" i="9"/>
  <c r="F30" i="9" s="1"/>
  <c r="E31" i="9"/>
  <c r="F31" i="9" s="1"/>
  <c r="E32" i="9"/>
  <c r="F32" i="9" s="1"/>
  <c r="E33" i="9"/>
  <c r="F33" i="9" s="1"/>
  <c r="E34" i="9"/>
  <c r="F34" i="9" s="1"/>
  <c r="E35" i="9"/>
  <c r="F35" i="9" s="1"/>
  <c r="E36" i="9"/>
  <c r="F36" i="9" s="1"/>
  <c r="E37" i="9"/>
  <c r="F37" i="9" s="1"/>
  <c r="E38" i="9"/>
  <c r="F38" i="9" s="1"/>
  <c r="E39" i="9"/>
  <c r="F39" i="9" s="1"/>
  <c r="E40" i="9"/>
  <c r="F40" i="9" s="1"/>
  <c r="E41" i="9"/>
  <c r="F41" i="9" s="1"/>
  <c r="E42" i="9"/>
  <c r="F42" i="9" s="1"/>
  <c r="E43" i="9"/>
  <c r="F43" i="9" s="1"/>
  <c r="E44" i="9"/>
  <c r="F44" i="9" s="1"/>
  <c r="E45" i="9"/>
  <c r="F45" i="9" s="1"/>
  <c r="E46" i="9"/>
  <c r="F46" i="9" s="1"/>
  <c r="E47" i="9"/>
  <c r="F47" i="9" s="1"/>
  <c r="E48" i="9"/>
  <c r="F48" i="9" s="1"/>
  <c r="E49" i="9"/>
  <c r="F49" i="9" s="1"/>
  <c r="E50" i="9"/>
  <c r="F50" i="9" s="1"/>
  <c r="E51" i="9"/>
  <c r="F51" i="9" s="1"/>
  <c r="E52" i="9"/>
  <c r="F52" i="9" s="1"/>
  <c r="E53" i="9"/>
  <c r="F53" i="9" s="1"/>
  <c r="E54" i="9"/>
  <c r="F54" i="9" s="1"/>
  <c r="E55" i="9"/>
  <c r="F55" i="9" s="1"/>
  <c r="E56" i="9"/>
  <c r="F56" i="9" s="1"/>
  <c r="E57" i="9"/>
  <c r="F57" i="9" s="1"/>
  <c r="E58" i="9"/>
  <c r="F58" i="9" s="1"/>
  <c r="E59" i="9"/>
  <c r="F59" i="9" s="1"/>
  <c r="E60" i="9"/>
  <c r="F60" i="9" s="1"/>
  <c r="E61" i="9"/>
  <c r="F61" i="9" s="1"/>
  <c r="E62" i="9"/>
  <c r="F62" i="9" s="1"/>
  <c r="E63" i="9"/>
  <c r="F63" i="9" s="1"/>
  <c r="E64" i="9"/>
  <c r="F64" i="9" s="1"/>
  <c r="E65" i="9"/>
  <c r="F65" i="9" s="1"/>
  <c r="E66" i="9"/>
  <c r="F66" i="9" s="1"/>
  <c r="E67" i="9"/>
  <c r="F67" i="9" s="1"/>
  <c r="E68" i="9"/>
  <c r="F68" i="9" s="1"/>
  <c r="E69" i="9"/>
  <c r="F69" i="9" s="1"/>
  <c r="E70" i="9"/>
  <c r="F70" i="9" s="1"/>
  <c r="E71" i="9"/>
  <c r="F71" i="9" s="1"/>
  <c r="E72" i="9"/>
  <c r="F72" i="9" s="1"/>
  <c r="E73" i="9"/>
  <c r="F73" i="9" s="1"/>
  <c r="E74" i="9"/>
  <c r="F74" i="9" s="1"/>
  <c r="E75" i="9"/>
  <c r="F75" i="9" s="1"/>
  <c r="E76" i="9"/>
  <c r="F76" i="9" s="1"/>
  <c r="E77" i="9"/>
  <c r="F77" i="9" s="1"/>
  <c r="E78" i="9"/>
  <c r="F78" i="9" s="1"/>
  <c r="E79" i="9"/>
  <c r="F79" i="9" s="1"/>
  <c r="E80" i="9"/>
  <c r="F80" i="9" s="1"/>
  <c r="E81" i="9"/>
  <c r="F81" i="9" s="1"/>
  <c r="E82" i="9"/>
  <c r="F82" i="9" s="1"/>
  <c r="E83" i="9"/>
  <c r="F83" i="9" s="1"/>
  <c r="E84" i="9"/>
  <c r="F84" i="9" s="1"/>
  <c r="E85" i="9"/>
  <c r="F85" i="9" s="1"/>
  <c r="E86" i="9"/>
  <c r="F86" i="9" s="1"/>
  <c r="E87" i="9"/>
  <c r="F87" i="9" s="1"/>
  <c r="E88" i="9"/>
  <c r="F88" i="9" s="1"/>
  <c r="E89" i="9"/>
  <c r="F89" i="9" s="1"/>
  <c r="E90" i="9"/>
  <c r="F90" i="9" s="1"/>
  <c r="E91" i="9"/>
  <c r="F91" i="9" s="1"/>
  <c r="E92" i="9"/>
  <c r="F92" i="9" s="1"/>
  <c r="E93" i="9"/>
  <c r="F93" i="9" s="1"/>
  <c r="E94" i="9"/>
  <c r="F94" i="9" s="1"/>
  <c r="E95" i="9"/>
  <c r="F95" i="9" s="1"/>
  <c r="E96" i="9"/>
  <c r="F96" i="9" s="1"/>
  <c r="E97" i="9"/>
  <c r="F97" i="9" s="1"/>
  <c r="E98" i="9"/>
  <c r="F98" i="9" s="1"/>
  <c r="E99" i="9"/>
  <c r="F99" i="9" s="1"/>
  <c r="E100" i="9"/>
  <c r="F100" i="9" s="1"/>
  <c r="E101" i="9"/>
  <c r="F101" i="9" s="1"/>
  <c r="E102" i="9"/>
  <c r="F102" i="9" s="1"/>
  <c r="E103" i="9"/>
  <c r="F103" i="9" s="1"/>
  <c r="E104" i="9"/>
  <c r="F104" i="9" s="1"/>
  <c r="E105" i="9"/>
  <c r="F105" i="9" s="1"/>
  <c r="E106" i="9"/>
  <c r="F106" i="9" s="1"/>
  <c r="E107" i="9"/>
  <c r="F107" i="9" s="1"/>
  <c r="E108" i="9"/>
  <c r="F108" i="9" s="1"/>
  <c r="E109" i="9"/>
  <c r="F109" i="9" s="1"/>
  <c r="E110" i="9"/>
  <c r="F110" i="9" s="1"/>
  <c r="E111" i="9"/>
  <c r="F111" i="9" s="1"/>
  <c r="E112" i="9"/>
  <c r="F112" i="9" s="1"/>
  <c r="E113" i="9"/>
  <c r="F113" i="9" s="1"/>
  <c r="E114" i="9"/>
  <c r="F114" i="9" s="1"/>
  <c r="E115" i="9"/>
  <c r="F115" i="9" s="1"/>
  <c r="E116" i="9"/>
  <c r="F116" i="9" s="1"/>
  <c r="E117" i="9"/>
  <c r="F117" i="9" s="1"/>
  <c r="E118" i="9"/>
  <c r="F118" i="9" s="1"/>
  <c r="E119" i="9"/>
  <c r="F119" i="9" s="1"/>
  <c r="E120" i="9"/>
  <c r="F120" i="9" s="1"/>
  <c r="E121" i="9"/>
  <c r="F121" i="9" s="1"/>
  <c r="E122" i="9"/>
  <c r="F122" i="9" s="1"/>
  <c r="E123" i="9"/>
  <c r="F123" i="9" s="1"/>
  <c r="E124" i="9"/>
  <c r="F124" i="9" s="1"/>
  <c r="E125" i="9"/>
  <c r="F125" i="9" s="1"/>
  <c r="E126" i="9"/>
  <c r="F126" i="9" s="1"/>
  <c r="E127" i="9"/>
  <c r="F127" i="9" s="1"/>
  <c r="E128" i="9"/>
  <c r="F128" i="9" s="1"/>
  <c r="E129" i="9"/>
  <c r="F129" i="9" s="1"/>
  <c r="E130" i="9"/>
  <c r="F130" i="9" s="1"/>
  <c r="E131" i="9"/>
  <c r="F131" i="9" s="1"/>
  <c r="E132" i="9"/>
  <c r="F132" i="9" s="1"/>
  <c r="E133" i="9"/>
  <c r="F133" i="9" s="1"/>
  <c r="E134" i="9"/>
  <c r="F134" i="9" s="1"/>
  <c r="E135" i="9"/>
  <c r="F135" i="9" s="1"/>
  <c r="E136" i="9"/>
  <c r="F136" i="9" s="1"/>
  <c r="E137" i="9"/>
  <c r="F137" i="9" s="1"/>
  <c r="E138" i="9"/>
  <c r="F138" i="9" s="1"/>
  <c r="E139" i="9"/>
  <c r="F139" i="9" s="1"/>
  <c r="E140" i="9"/>
  <c r="F140" i="9" s="1"/>
  <c r="E141" i="9"/>
  <c r="F141" i="9" s="1"/>
  <c r="E142" i="9"/>
  <c r="F142" i="9" s="1"/>
  <c r="E143" i="9"/>
  <c r="F143" i="9" s="1"/>
  <c r="E144" i="9"/>
  <c r="F144" i="9" s="1"/>
  <c r="E145" i="9"/>
  <c r="F145" i="9" s="1"/>
  <c r="E146" i="9"/>
  <c r="F146" i="9" s="1"/>
  <c r="E147" i="9"/>
  <c r="F147" i="9" s="1"/>
  <c r="E148" i="9"/>
  <c r="F148" i="9" s="1"/>
  <c r="E149" i="9"/>
  <c r="F149" i="9" s="1"/>
  <c r="E150" i="9"/>
  <c r="F150" i="9" s="1"/>
  <c r="E151" i="9"/>
  <c r="F151" i="9" s="1"/>
  <c r="E152" i="9"/>
  <c r="F152" i="9" s="1"/>
  <c r="E153" i="9"/>
  <c r="F153" i="9" s="1"/>
  <c r="E154" i="9"/>
  <c r="F154" i="9" s="1"/>
  <c r="E155" i="9"/>
  <c r="F155" i="9" s="1"/>
  <c r="E156" i="9"/>
  <c r="F156" i="9" s="1"/>
  <c r="E157" i="9"/>
  <c r="F157" i="9" s="1"/>
  <c r="E158" i="9"/>
  <c r="F158" i="9" s="1"/>
  <c r="E159" i="9"/>
  <c r="F159" i="9" s="1"/>
  <c r="E160" i="9"/>
  <c r="F160" i="9" s="1"/>
  <c r="E161" i="9"/>
  <c r="F161" i="9" s="1"/>
  <c r="E162" i="9"/>
  <c r="F162" i="9" s="1"/>
  <c r="E163" i="9"/>
  <c r="F163" i="9" s="1"/>
  <c r="E164" i="9"/>
  <c r="F164" i="9" s="1"/>
  <c r="E165" i="9"/>
  <c r="F165" i="9" s="1"/>
  <c r="E166" i="9"/>
  <c r="F166" i="9" s="1"/>
  <c r="E167" i="9"/>
  <c r="F167" i="9" s="1"/>
  <c r="E168" i="9"/>
  <c r="F168" i="9" s="1"/>
  <c r="E169" i="9"/>
  <c r="F169" i="9" s="1"/>
  <c r="E170" i="9"/>
  <c r="F170" i="9" s="1"/>
  <c r="E171" i="9"/>
  <c r="F171" i="9" s="1"/>
  <c r="E172" i="9"/>
  <c r="F172" i="9" s="1"/>
  <c r="E173" i="9"/>
  <c r="F173" i="9" s="1"/>
  <c r="E174" i="9"/>
  <c r="F174" i="9" s="1"/>
  <c r="E175" i="9"/>
  <c r="F175" i="9" s="1"/>
  <c r="E176" i="9"/>
  <c r="F176" i="9" s="1"/>
  <c r="E177" i="9"/>
  <c r="F177" i="9" s="1"/>
  <c r="E178" i="9"/>
  <c r="F178" i="9" s="1"/>
  <c r="E179" i="9"/>
  <c r="F179" i="9" s="1"/>
  <c r="E180" i="9"/>
  <c r="F180" i="9" s="1"/>
  <c r="E181" i="9"/>
  <c r="F181" i="9" s="1"/>
  <c r="E182" i="9"/>
  <c r="F182" i="9" s="1"/>
  <c r="E183" i="9"/>
  <c r="F183" i="9" s="1"/>
  <c r="E184" i="9"/>
  <c r="F184" i="9" s="1"/>
  <c r="E185" i="9"/>
  <c r="F185" i="9" s="1"/>
  <c r="E186" i="9"/>
  <c r="F186" i="9" s="1"/>
  <c r="E187" i="9"/>
  <c r="F187" i="9" s="1"/>
  <c r="E188" i="9"/>
  <c r="F188" i="9" s="1"/>
  <c r="E189" i="9"/>
  <c r="F189" i="9" s="1"/>
  <c r="E190" i="9"/>
  <c r="F190" i="9" s="1"/>
  <c r="E191" i="9"/>
  <c r="F191" i="9" s="1"/>
  <c r="E192" i="9"/>
  <c r="F192" i="9" s="1"/>
  <c r="E193" i="9"/>
  <c r="F193" i="9" s="1"/>
  <c r="E194" i="9"/>
  <c r="F194" i="9" s="1"/>
  <c r="E195" i="9"/>
  <c r="F195" i="9" s="1"/>
  <c r="E196" i="9"/>
  <c r="F196" i="9" s="1"/>
  <c r="E197" i="9"/>
  <c r="F197" i="9" s="1"/>
  <c r="E198" i="9"/>
  <c r="F198" i="9" s="1"/>
  <c r="E199" i="9"/>
  <c r="F199" i="9" s="1"/>
  <c r="E200" i="9"/>
  <c r="F200" i="9" s="1"/>
  <c r="E201" i="9"/>
  <c r="F201" i="9" s="1"/>
  <c r="E202" i="9"/>
  <c r="F202" i="9" s="1"/>
  <c r="E203" i="9"/>
  <c r="F203" i="9" s="1"/>
  <c r="E204" i="9"/>
  <c r="F204" i="9" s="1"/>
  <c r="E205" i="9"/>
  <c r="F205" i="9" s="1"/>
  <c r="E206" i="9"/>
  <c r="F206" i="9" s="1"/>
  <c r="E207" i="9"/>
  <c r="F207" i="9" s="1"/>
  <c r="E208" i="9"/>
  <c r="F208" i="9" s="1"/>
  <c r="E209" i="9"/>
  <c r="F209" i="9" s="1"/>
  <c r="E210" i="9"/>
  <c r="F210" i="9" s="1"/>
  <c r="E211" i="9"/>
  <c r="F211" i="9" s="1"/>
  <c r="E212" i="9"/>
  <c r="F212" i="9" s="1"/>
  <c r="E213" i="9"/>
  <c r="F213" i="9" s="1"/>
  <c r="E214" i="9"/>
  <c r="F214" i="9" s="1"/>
  <c r="E215" i="9"/>
  <c r="F215" i="9" s="1"/>
  <c r="G103" i="16"/>
  <c r="F103" i="16"/>
  <c r="E103" i="16"/>
  <c r="D103" i="16"/>
  <c r="C103" i="16"/>
  <c r="G103" i="15"/>
  <c r="F103" i="15"/>
  <c r="E103" i="15"/>
  <c r="D103" i="15"/>
  <c r="C103" i="15"/>
  <c r="L104" i="7" l="1"/>
  <c r="L105" i="7"/>
  <c r="L106" i="7"/>
  <c r="L107" i="7"/>
  <c r="L108" i="7"/>
  <c r="L111" i="7"/>
  <c r="L112" i="7"/>
  <c r="L113" i="7"/>
  <c r="L114" i="7"/>
  <c r="L115" i="7"/>
  <c r="L116" i="7"/>
  <c r="L123" i="7"/>
  <c r="L124" i="7"/>
  <c r="L125" i="7"/>
  <c r="L126" i="7"/>
  <c r="L127" i="7"/>
  <c r="L128" i="7"/>
  <c r="L141" i="7"/>
  <c r="L142" i="7"/>
  <c r="L143" i="7"/>
  <c r="L144" i="7"/>
  <c r="L145" i="7"/>
  <c r="L146" i="7"/>
  <c r="L147" i="7"/>
  <c r="L148" i="7"/>
  <c r="L163"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3" i="7"/>
  <c r="L285" i="7"/>
  <c r="L286" i="7"/>
  <c r="L287" i="7"/>
  <c r="L288" i="7"/>
  <c r="L289" i="7"/>
  <c r="L290" i="7"/>
  <c r="L291" i="7"/>
  <c r="L293" i="7"/>
  <c r="L294" i="7"/>
  <c r="L295" i="7"/>
  <c r="L296" i="7"/>
  <c r="L297" i="7"/>
  <c r="L298" i="7"/>
  <c r="D35" i="7"/>
  <c r="D36" i="7"/>
  <c r="D32" i="7"/>
  <c r="D43" i="7"/>
  <c r="D139" i="7"/>
  <c r="D140" i="7"/>
  <c r="D141" i="7"/>
  <c r="D142" i="7"/>
  <c r="D143" i="7"/>
  <c r="D144" i="7"/>
  <c r="D145" i="7"/>
  <c r="D146" i="7"/>
  <c r="D147" i="7"/>
  <c r="D148" i="7"/>
  <c r="D65" i="7"/>
  <c r="D66" i="7"/>
  <c r="D34"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77" i="7"/>
  <c r="D185" i="7"/>
  <c r="D51" i="7"/>
  <c r="D72" i="7"/>
  <c r="D79" i="7"/>
  <c r="D53" i="7"/>
  <c r="D80" i="7"/>
  <c r="D186" i="7"/>
  <c r="D12" i="7"/>
  <c r="D187" i="7"/>
  <c r="D188" i="7"/>
  <c r="D189" i="7"/>
  <c r="D190" i="7"/>
  <c r="D191" i="7"/>
  <c r="D20" i="7"/>
  <c r="D192" i="7"/>
  <c r="D193" i="7"/>
  <c r="D194" i="7"/>
  <c r="D19" i="7"/>
  <c r="D33" i="7"/>
  <c r="D44" i="7"/>
  <c r="D61" i="7"/>
  <c r="D68" i="7"/>
  <c r="D75" i="7"/>
  <c r="D92" i="7"/>
  <c r="D122" i="7"/>
  <c r="D195" i="7"/>
  <c r="D7" i="7"/>
  <c r="D196" i="7"/>
  <c r="D197" i="7"/>
  <c r="D62" i="7"/>
  <c r="D4" i="7"/>
  <c r="D21" i="7"/>
  <c r="D45" i="7"/>
  <c r="D69" i="7"/>
  <c r="D70" i="7"/>
  <c r="D87" i="7"/>
  <c r="D91" i="7"/>
  <c r="D198" i="7"/>
  <c r="D199" i="7"/>
  <c r="D200" i="7"/>
  <c r="D201" i="7"/>
  <c r="D202" i="7"/>
  <c r="D203" i="7"/>
  <c r="D204" i="7"/>
  <c r="D205" i="7"/>
  <c r="D81" i="7"/>
  <c r="D83" i="7"/>
  <c r="D31" i="7"/>
  <c r="D52" i="7"/>
  <c r="D63" i="7"/>
  <c r="D73" i="7"/>
  <c r="D82" i="7"/>
  <c r="D101" i="7"/>
  <c r="D102" i="7"/>
  <c r="D103" i="7"/>
  <c r="D121" i="7"/>
  <c r="D5" i="7"/>
  <c r="D6" i="7"/>
  <c r="D9" i="7"/>
  <c r="D10" i="7"/>
  <c r="D11" i="7"/>
  <c r="D15" i="7"/>
  <c r="D24" i="7"/>
  <c r="D25" i="7"/>
  <c r="D26" i="7"/>
  <c r="D27" i="7"/>
  <c r="D28" i="7"/>
  <c r="D29" i="7"/>
  <c r="D30" i="7"/>
  <c r="D37" i="7"/>
  <c r="D38" i="7"/>
  <c r="D39" i="7"/>
  <c r="D40" i="7"/>
  <c r="D41" i="7"/>
  <c r="D42" i="7"/>
  <c r="D56" i="7"/>
  <c r="D57" i="7"/>
  <c r="D58" i="7"/>
  <c r="D74" i="7"/>
  <c r="D89" i="7"/>
  <c r="D90" i="7"/>
  <c r="D94" i="7"/>
  <c r="D95" i="7"/>
  <c r="D96" i="7"/>
  <c r="D97" i="7"/>
  <c r="D98" i="7"/>
  <c r="D99" i="7"/>
  <c r="D100" i="7"/>
  <c r="D119" i="7"/>
  <c r="D120" i="7"/>
  <c r="D129" i="7"/>
  <c r="D130" i="7"/>
  <c r="D131" i="7"/>
  <c r="D132" i="7"/>
  <c r="D206" i="7"/>
  <c r="D136" i="7"/>
  <c r="D138" i="7"/>
  <c r="D207" i="7"/>
  <c r="D208" i="7"/>
  <c r="D49" i="7"/>
  <c r="D93" i="7"/>
  <c r="D209" i="7"/>
  <c r="D17" i="7"/>
  <c r="D48" i="7"/>
  <c r="D50" i="7"/>
  <c r="D60" i="7"/>
  <c r="D109" i="7"/>
  <c r="D110" i="7"/>
  <c r="D210" i="7"/>
  <c r="D211" i="7"/>
  <c r="D212" i="7"/>
  <c r="D213" i="7"/>
  <c r="D112" i="7"/>
  <c r="D214" i="7"/>
  <c r="D105" i="7"/>
  <c r="D215" i="7"/>
  <c r="D111" i="7"/>
  <c r="D216" i="7"/>
  <c r="D217" i="7"/>
  <c r="D107" i="7"/>
  <c r="D218" i="7"/>
  <c r="D128" i="7"/>
  <c r="D124" i="7"/>
  <c r="D127" i="7"/>
  <c r="D219" i="7"/>
  <c r="D220" i="7"/>
  <c r="D221" i="7"/>
  <c r="D222" i="7"/>
  <c r="D223" i="7"/>
  <c r="D224" i="7"/>
  <c r="D115" i="7"/>
  <c r="D225" i="7"/>
  <c r="D226" i="7"/>
  <c r="D227" i="7"/>
  <c r="D228" i="7"/>
  <c r="D229" i="7"/>
  <c r="D230" i="7"/>
  <c r="D126" i="7"/>
  <c r="D104"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8" i="7"/>
  <c r="D114" i="7"/>
  <c r="D113" i="7"/>
  <c r="D266" i="7"/>
  <c r="D267" i="7"/>
  <c r="D268" i="7"/>
  <c r="D269" i="7"/>
  <c r="D270" i="7"/>
  <c r="D271" i="7"/>
  <c r="D272" i="7"/>
  <c r="D273" i="7"/>
  <c r="D274" i="7"/>
  <c r="D275" i="7"/>
  <c r="D276" i="7"/>
  <c r="D277" i="7"/>
  <c r="D123" i="7"/>
  <c r="D278" i="7"/>
  <c r="D279" i="7"/>
  <c r="D280" i="7"/>
  <c r="D281" i="7"/>
  <c r="D282" i="7"/>
  <c r="D283" i="7"/>
  <c r="D284" i="7"/>
  <c r="D285" i="7"/>
  <c r="D286" i="7"/>
  <c r="D287" i="7"/>
  <c r="D288" i="7"/>
  <c r="D289" i="7"/>
  <c r="D290" i="7"/>
  <c r="D291" i="7"/>
  <c r="D292" i="7"/>
  <c r="D293" i="7"/>
  <c r="D294" i="7"/>
  <c r="D295" i="7"/>
  <c r="D296" i="7"/>
  <c r="D106" i="7"/>
  <c r="D297" i="7"/>
  <c r="D108" i="7"/>
  <c r="D125" i="7"/>
  <c r="D116" i="7"/>
  <c r="D298" i="7"/>
  <c r="D137" i="7"/>
  <c r="D13" i="7"/>
  <c r="D71" i="7"/>
  <c r="D14" i="7"/>
  <c r="D16" i="7"/>
  <c r="D18" i="7"/>
  <c r="D22" i="7"/>
  <c r="D46" i="7"/>
  <c r="D47" i="7"/>
  <c r="D54" i="7"/>
  <c r="D55" i="7"/>
  <c r="D59" i="7"/>
  <c r="D64" i="7"/>
  <c r="D67" i="7"/>
  <c r="D76" i="7"/>
  <c r="D78" i="7"/>
  <c r="D117" i="7"/>
  <c r="D118" i="7"/>
  <c r="D23" i="7"/>
  <c r="D85" i="7"/>
  <c r="D86" i="7"/>
  <c r="D84" i="7"/>
  <c r="D88" i="7"/>
  <c r="D133" i="7"/>
  <c r="D134" i="7"/>
  <c r="D135"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73" i="7" l="1"/>
  <c r="C2" i="9"/>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98" i="7"/>
  <c r="C214" i="7"/>
  <c r="C79" i="7"/>
  <c r="C289" i="7"/>
  <c r="C41" i="7"/>
  <c r="C263" i="7"/>
  <c r="C38" i="7"/>
  <c r="C63" i="7"/>
  <c r="C191" i="7"/>
  <c r="C35" i="7"/>
  <c r="C89" i="7"/>
  <c r="C288" i="7"/>
  <c r="C51" i="7"/>
  <c r="C65" i="7"/>
  <c r="C281" i="7"/>
  <c r="C114" i="7"/>
  <c r="C272" i="7"/>
  <c r="C116" i="7"/>
  <c r="C121" i="7"/>
  <c r="C74" i="7"/>
  <c r="C188" i="7"/>
  <c r="C76" i="7"/>
  <c r="C156" i="7"/>
  <c r="C291" i="7"/>
  <c r="C196" i="7"/>
  <c r="C131" i="7"/>
  <c r="C323" i="7"/>
  <c r="C180" i="7"/>
  <c r="C305" i="7"/>
  <c r="C192" i="7"/>
  <c r="C322" i="7"/>
  <c r="C278" i="7"/>
  <c r="C273" i="7"/>
  <c r="C220" i="7"/>
  <c r="C307" i="7"/>
  <c r="C45" i="7"/>
  <c r="C97" i="7"/>
  <c r="C11" i="7"/>
  <c r="C170" i="7"/>
  <c r="C264" i="7"/>
  <c r="C57" i="7"/>
  <c r="C211" i="7"/>
  <c r="C293" i="7"/>
  <c r="C314" i="7"/>
  <c r="C303" i="7"/>
  <c r="C82" i="7"/>
  <c r="C166" i="7"/>
  <c r="C163" i="7"/>
  <c r="C222" i="7"/>
  <c r="C301" i="7"/>
  <c r="C176" i="7"/>
  <c r="C274" i="7"/>
  <c r="C153" i="7"/>
  <c r="C61" i="7"/>
  <c r="C90" i="7"/>
  <c r="C287" i="7"/>
  <c r="C129" i="7"/>
  <c r="C27" i="7"/>
  <c r="C279" i="7"/>
  <c r="C218" i="7"/>
  <c r="C72" i="7"/>
  <c r="C95" i="7"/>
  <c r="C223" i="7"/>
  <c r="C62" i="7"/>
  <c r="C161" i="7"/>
  <c r="C75" i="7"/>
  <c r="C67" i="7"/>
  <c r="C142" i="7"/>
  <c r="C147" i="7"/>
  <c r="C141" i="7"/>
  <c r="C204" i="7"/>
  <c r="C203" i="7"/>
  <c r="C106" i="7"/>
  <c r="C317" i="7"/>
  <c r="C102" i="7"/>
  <c r="C103" i="7"/>
  <c r="C210" i="7"/>
  <c r="C83" i="7"/>
  <c r="C22" i="7"/>
  <c r="C267" i="7"/>
  <c r="C169" i="7"/>
  <c r="C234" i="7"/>
  <c r="C329" i="7"/>
  <c r="C215" i="7"/>
  <c r="C184" i="7"/>
  <c r="C144" i="7"/>
  <c r="C28" i="7"/>
  <c r="C36" i="7"/>
  <c r="C227" i="7"/>
  <c r="C190" i="7"/>
  <c r="C96" i="7"/>
  <c r="C23" i="7"/>
  <c r="C73" i="7"/>
  <c r="C275" i="7"/>
  <c r="C21" i="7"/>
  <c r="C182" i="7"/>
  <c r="C172" i="7"/>
  <c r="C43" i="7"/>
  <c r="C213" i="7"/>
  <c r="C132" i="7"/>
  <c r="C312" i="7"/>
  <c r="C117" i="7"/>
  <c r="C66" i="7"/>
  <c r="C149" i="7"/>
  <c r="C48" i="7"/>
  <c r="C200" i="7"/>
  <c r="C247" i="7"/>
  <c r="C143" i="7"/>
  <c r="C123" i="7"/>
  <c r="C122" i="7"/>
  <c r="C236" i="7"/>
  <c r="C99" i="7"/>
  <c r="C297" i="7"/>
  <c r="C40" i="7"/>
  <c r="C248" i="7"/>
  <c r="C266" i="7"/>
  <c r="C18" i="7"/>
  <c r="C209" i="7"/>
  <c r="C280" i="7"/>
  <c r="C284" i="7"/>
  <c r="C118" i="7"/>
  <c r="C14" i="7"/>
  <c r="C253" i="7"/>
  <c r="C77" i="7"/>
  <c r="C328" i="7"/>
  <c r="C311" i="7"/>
  <c r="C10" i="7"/>
  <c r="C69" i="7"/>
  <c r="C13" i="7"/>
  <c r="C228" i="7"/>
  <c r="C120" i="7"/>
  <c r="C17" i="7"/>
  <c r="C55" i="7"/>
  <c r="C206" i="7"/>
  <c r="C31" i="7"/>
  <c r="C152" i="7"/>
  <c r="C78" i="7"/>
  <c r="C20" i="7"/>
  <c r="C309" i="7"/>
  <c r="C145" i="7"/>
  <c r="C139" i="7"/>
  <c r="C86" i="7"/>
  <c r="C80" i="7"/>
  <c r="C148" i="7"/>
  <c r="C327" i="7"/>
  <c r="C56" i="7"/>
  <c r="C326" i="7"/>
  <c r="C242" i="7"/>
  <c r="C130" i="7"/>
  <c r="C198" i="7"/>
  <c r="C302" i="7"/>
  <c r="C270" i="7"/>
  <c r="C262" i="7"/>
  <c r="C58" i="7"/>
  <c r="C249" i="7"/>
  <c r="C32" i="7"/>
  <c r="C254" i="7"/>
  <c r="C52" i="7"/>
  <c r="C70" i="7"/>
  <c r="C25" i="7"/>
  <c r="C19" i="7"/>
  <c r="C230" i="7"/>
  <c r="C189" i="7"/>
  <c r="C286" i="7"/>
  <c r="C232" i="7"/>
  <c r="C93" i="7"/>
  <c r="C160" i="7"/>
  <c r="C34" i="7"/>
  <c r="C44" i="7"/>
  <c r="C296" i="7"/>
  <c r="C240" i="7"/>
  <c r="C243" i="7"/>
  <c r="C124" i="7"/>
  <c r="C256" i="7"/>
  <c r="C101" i="7"/>
  <c r="C98" i="7"/>
  <c r="C4" i="7"/>
  <c r="C271" i="7"/>
  <c r="C318" i="7"/>
  <c r="C7" i="7"/>
  <c r="C150" i="7"/>
  <c r="C226" i="7"/>
  <c r="C110" i="7"/>
  <c r="C115" i="7"/>
  <c r="C216" i="7"/>
  <c r="C42" i="7"/>
  <c r="C315" i="7"/>
  <c r="C87" i="7"/>
  <c r="C219" i="7"/>
  <c r="C158" i="7"/>
  <c r="C251" i="7"/>
  <c r="C179" i="7"/>
  <c r="C107" i="7"/>
  <c r="C310" i="7"/>
  <c r="C241" i="7"/>
  <c r="C71" i="7"/>
  <c r="C308" i="7"/>
  <c r="C84" i="7"/>
  <c r="C113" i="7"/>
  <c r="C185" i="7"/>
  <c r="C68" i="7"/>
  <c r="C127" i="7"/>
  <c r="C24" i="7"/>
  <c r="C212" i="7"/>
  <c r="C30" i="7"/>
  <c r="C151" i="7"/>
  <c r="C261" i="7"/>
  <c r="C140" i="7"/>
  <c r="C53" i="7"/>
  <c r="C304" i="7"/>
  <c r="C321" i="7"/>
  <c r="C187" i="7"/>
  <c r="C146" i="7"/>
  <c r="C9" i="7"/>
  <c r="C233" i="7"/>
  <c r="C16" i="7"/>
  <c r="C112" i="7"/>
  <c r="C277" i="7"/>
  <c r="C283" i="7"/>
  <c r="C193" i="7"/>
  <c r="C207" i="7"/>
  <c r="C54" i="7"/>
  <c r="C259" i="7"/>
  <c r="C229" i="7"/>
  <c r="C174" i="7"/>
  <c r="C85" i="7"/>
  <c r="C128" i="7"/>
  <c r="C59" i="7"/>
  <c r="C46" i="7"/>
  <c r="C15" i="7"/>
  <c r="C105" i="7"/>
  <c r="C255" i="7"/>
  <c r="C33" i="7"/>
  <c r="C26" i="7"/>
  <c r="C292" i="7"/>
  <c r="C133" i="7"/>
  <c r="C224" i="7"/>
  <c r="C320" i="7"/>
  <c r="C173" i="7"/>
  <c r="C201" i="7"/>
  <c r="C269" i="7"/>
  <c r="C100" i="7"/>
  <c r="C237" i="7"/>
  <c r="C111" i="7"/>
  <c r="C225" i="7"/>
  <c r="C178" i="7"/>
  <c r="C290" i="7"/>
  <c r="C92" i="7"/>
  <c r="C325" i="7"/>
  <c r="C246" i="7"/>
  <c r="C316" i="7"/>
  <c r="C138" i="7"/>
  <c r="C282" i="7"/>
  <c r="C313" i="7"/>
  <c r="C125" i="7"/>
  <c r="C119" i="7"/>
  <c r="C197" i="7"/>
  <c r="C276" i="7"/>
  <c r="C135" i="7"/>
  <c r="C177" i="7"/>
  <c r="C165" i="7"/>
  <c r="C258" i="7"/>
  <c r="C324" i="7"/>
  <c r="C37" i="7"/>
  <c r="C268" i="7"/>
  <c r="C221" i="7"/>
  <c r="C208" i="7"/>
  <c r="C183" i="7"/>
  <c r="C294" i="7"/>
  <c r="C49" i="7"/>
  <c r="C134" i="7"/>
  <c r="C94" i="7"/>
  <c r="C217" i="7"/>
  <c r="C6" i="7"/>
  <c r="C285" i="7"/>
  <c r="C136" i="7"/>
  <c r="C50" i="7"/>
  <c r="C194" i="7"/>
  <c r="C60" i="7"/>
  <c r="C5" i="7"/>
  <c r="C159" i="7"/>
  <c r="C167" i="7"/>
  <c r="C154" i="7"/>
  <c r="C39" i="7"/>
  <c r="C250" i="7"/>
  <c r="C238" i="7"/>
  <c r="C265" i="7"/>
  <c r="C181" i="7"/>
  <c r="C257" i="7"/>
  <c r="C306" i="7"/>
  <c r="C252" i="7"/>
  <c r="C186" i="7"/>
  <c r="C91" i="7"/>
  <c r="C12" i="7"/>
  <c r="C295" i="7"/>
  <c r="C64" i="7"/>
  <c r="C205" i="7"/>
  <c r="C171" i="7"/>
  <c r="C260" i="7"/>
  <c r="C157" i="7"/>
  <c r="C175" i="7"/>
  <c r="C47" i="7"/>
  <c r="C239" i="7"/>
  <c r="C300" i="7"/>
  <c r="C195" i="7"/>
  <c r="C168" i="7"/>
  <c r="C104" i="7"/>
  <c r="C299" i="7"/>
  <c r="C235" i="7"/>
  <c r="C108" i="7"/>
  <c r="C245" i="7"/>
  <c r="C29" i="7"/>
  <c r="C8" i="7"/>
  <c r="C162" i="7"/>
  <c r="C319" i="7"/>
  <c r="C202" i="7"/>
  <c r="C231" i="7"/>
  <c r="C81" i="7"/>
  <c r="C155" i="7"/>
  <c r="C137" i="7"/>
  <c r="C199" i="7"/>
  <c r="C244" i="7"/>
  <c r="C126" i="7"/>
  <c r="C164" i="7"/>
  <c r="C88" i="7"/>
  <c r="C109" i="7"/>
  <c r="C373" i="7" l="1"/>
  <c r="AA329" i="7"/>
  <c r="Q329" i="7"/>
  <c r="AA328" i="7"/>
  <c r="Q328" i="7"/>
  <c r="AA327" i="7"/>
  <c r="Q327" i="7"/>
  <c r="AA326" i="7"/>
  <c r="Q326" i="7"/>
  <c r="AA325" i="7"/>
  <c r="Q325" i="7"/>
  <c r="AA324" i="7"/>
  <c r="Q324" i="7"/>
  <c r="AA323" i="7"/>
  <c r="Q323" i="7"/>
  <c r="AA322" i="7"/>
  <c r="Q322" i="7"/>
  <c r="AA321" i="7"/>
  <c r="Q321" i="7"/>
  <c r="AA320" i="7"/>
  <c r="Q320" i="7"/>
  <c r="AA319" i="7"/>
  <c r="Q319" i="7"/>
  <c r="AA318" i="7"/>
  <c r="Q318" i="7"/>
  <c r="AA317" i="7"/>
  <c r="Q317" i="7"/>
  <c r="AA316" i="7"/>
  <c r="Q316" i="7"/>
  <c r="AA315" i="7"/>
  <c r="Q315" i="7"/>
  <c r="AA314" i="7"/>
  <c r="Q314" i="7"/>
  <c r="AA313" i="7"/>
  <c r="Q313" i="7"/>
  <c r="AA312" i="7"/>
  <c r="Q312" i="7"/>
  <c r="AA311" i="7"/>
  <c r="Q311" i="7"/>
  <c r="AA164" i="7"/>
  <c r="Q164" i="7"/>
  <c r="AA310" i="7"/>
  <c r="Q310" i="7"/>
  <c r="AA309" i="7"/>
  <c r="Q309" i="7"/>
  <c r="AA308" i="7"/>
  <c r="Q308" i="7"/>
  <c r="AA307" i="7"/>
  <c r="Q307" i="7"/>
  <c r="AA306" i="7"/>
  <c r="Q306" i="7"/>
  <c r="AA305" i="7"/>
  <c r="Q305" i="7"/>
  <c r="AA304" i="7"/>
  <c r="Q304" i="7"/>
  <c r="AA303" i="7"/>
  <c r="Q303" i="7"/>
  <c r="AA302" i="7"/>
  <c r="Q302" i="7"/>
  <c r="AA301" i="7"/>
  <c r="Q301" i="7"/>
  <c r="AA300" i="7"/>
  <c r="Q300" i="7"/>
  <c r="AA299" i="7"/>
  <c r="Q299" i="7"/>
  <c r="AA135" i="7"/>
  <c r="Q135" i="7"/>
  <c r="AA134" i="7"/>
  <c r="Q134" i="7"/>
  <c r="AA133" i="7"/>
  <c r="Q133" i="7"/>
  <c r="AA88" i="7"/>
  <c r="Q88" i="7"/>
  <c r="AA84" i="7"/>
  <c r="Q84" i="7"/>
  <c r="AA34" i="7"/>
  <c r="Q34" i="7"/>
  <c r="AA86" i="7"/>
  <c r="Q86" i="7"/>
  <c r="AA85" i="7"/>
  <c r="Q85" i="7"/>
  <c r="AA66" i="7"/>
  <c r="Q66" i="7"/>
  <c r="AA23" i="7"/>
  <c r="Q23" i="7"/>
  <c r="AA118" i="7"/>
  <c r="Q118" i="7"/>
  <c r="AA117" i="7"/>
  <c r="Q117" i="7"/>
  <c r="AA78" i="7"/>
  <c r="Q78" i="7"/>
  <c r="AA76" i="7"/>
  <c r="Q76" i="7"/>
  <c r="AA67" i="7"/>
  <c r="Q67" i="7"/>
  <c r="AA65" i="7"/>
  <c r="Q65" i="7"/>
  <c r="AA64" i="7"/>
  <c r="Q64" i="7"/>
  <c r="AA59" i="7"/>
  <c r="Q59" i="7"/>
  <c r="AA55" i="7"/>
  <c r="Q55" i="7"/>
  <c r="AA54" i="7"/>
  <c r="Q54" i="7"/>
  <c r="AA47" i="7"/>
  <c r="Q47" i="7"/>
  <c r="AA46" i="7"/>
  <c r="Q46" i="7"/>
  <c r="AA22" i="7"/>
  <c r="Q22" i="7"/>
  <c r="AA18" i="7"/>
  <c r="Q18" i="7"/>
  <c r="AA16" i="7"/>
  <c r="Q16" i="7"/>
  <c r="AA14" i="7"/>
  <c r="Q14" i="7"/>
  <c r="AA71" i="7"/>
  <c r="Q71" i="7"/>
  <c r="AA13" i="7"/>
  <c r="Q13" i="7"/>
  <c r="Q137" i="7"/>
  <c r="S298" i="7"/>
  <c r="Q298" i="7"/>
  <c r="Q116" i="7"/>
  <c r="AA125" i="7"/>
  <c r="Q125" i="7"/>
  <c r="AA108" i="7"/>
  <c r="Q108" i="7"/>
  <c r="S297" i="7"/>
  <c r="Q297" i="7"/>
  <c r="AA106" i="7"/>
  <c r="Q106" i="7"/>
  <c r="S296" i="7"/>
  <c r="Q296" i="7"/>
  <c r="S295" i="7"/>
  <c r="Q295" i="7"/>
  <c r="S294" i="7"/>
  <c r="Q294" i="7"/>
  <c r="Q293" i="7"/>
  <c r="U163" i="7"/>
  <c r="Q163" i="7"/>
  <c r="Q292" i="7"/>
  <c r="S291" i="7"/>
  <c r="Q291" i="7"/>
  <c r="S290" i="7"/>
  <c r="Q290" i="7"/>
  <c r="S289" i="7"/>
  <c r="Q289" i="7"/>
  <c r="S288" i="7"/>
  <c r="Q288" i="7"/>
  <c r="S287" i="7"/>
  <c r="Q287" i="7"/>
  <c r="S286" i="7"/>
  <c r="Q286" i="7"/>
  <c r="S148" i="7"/>
  <c r="Q148" i="7"/>
  <c r="S285" i="7"/>
  <c r="Q285" i="7"/>
  <c r="Q284" i="7"/>
  <c r="S283" i="7"/>
  <c r="Q283" i="7"/>
  <c r="Q282" i="7"/>
  <c r="S281" i="7"/>
  <c r="Q281" i="7"/>
  <c r="S147" i="7"/>
  <c r="Q147" i="7"/>
  <c r="S280" i="7"/>
  <c r="Q280" i="7"/>
  <c r="S279" i="7"/>
  <c r="Q279" i="7"/>
  <c r="S278" i="7"/>
  <c r="Q278" i="7"/>
  <c r="AA123" i="7"/>
  <c r="Q123" i="7"/>
  <c r="S277" i="7"/>
  <c r="Q277" i="7"/>
  <c r="S276" i="7"/>
  <c r="Q276" i="7"/>
  <c r="S275" i="7"/>
  <c r="Q275" i="7"/>
  <c r="S274" i="7"/>
  <c r="Q274" i="7"/>
  <c r="S273" i="7"/>
  <c r="Q273" i="7"/>
  <c r="S272" i="7"/>
  <c r="Q272" i="7"/>
  <c r="S271" i="7"/>
  <c r="Q271" i="7"/>
  <c r="S270" i="7"/>
  <c r="Q270" i="7"/>
  <c r="S269" i="7"/>
  <c r="Q269" i="7"/>
  <c r="S268" i="7"/>
  <c r="Q268" i="7"/>
  <c r="S267" i="7"/>
  <c r="Q267" i="7"/>
  <c r="S266" i="7"/>
  <c r="Q266" i="7"/>
  <c r="AA113" i="7"/>
  <c r="Q113" i="7"/>
  <c r="Q114" i="7"/>
  <c r="Q8" i="7"/>
  <c r="S265" i="7"/>
  <c r="Q265" i="7"/>
  <c r="S264" i="7"/>
  <c r="Q264" i="7"/>
  <c r="Q263" i="7"/>
  <c r="S262" i="7"/>
  <c r="Q262" i="7"/>
  <c r="S146" i="7"/>
  <c r="Q146" i="7"/>
  <c r="S261" i="7"/>
  <c r="Q261" i="7"/>
  <c r="S260" i="7"/>
  <c r="Q260" i="7"/>
  <c r="S259" i="7"/>
  <c r="Q259" i="7"/>
  <c r="S145" i="7"/>
  <c r="Q145" i="7"/>
  <c r="AA258" i="7"/>
  <c r="Q258" i="7"/>
  <c r="S257" i="7"/>
  <c r="Q257" i="7"/>
  <c r="S256" i="7"/>
  <c r="Q256" i="7"/>
  <c r="S255" i="7"/>
  <c r="Q255" i="7"/>
  <c r="S254" i="7"/>
  <c r="Q254" i="7"/>
  <c r="S253" i="7"/>
  <c r="Q253" i="7"/>
  <c r="S252" i="7"/>
  <c r="Q252" i="7"/>
  <c r="S251" i="7"/>
  <c r="Q251" i="7"/>
  <c r="S250" i="7"/>
  <c r="Q250" i="7"/>
  <c r="S249" i="7"/>
  <c r="Q249" i="7"/>
  <c r="S248" i="7"/>
  <c r="Q248" i="7"/>
  <c r="S247" i="7"/>
  <c r="Q247" i="7"/>
  <c r="S246" i="7"/>
  <c r="Q246" i="7"/>
  <c r="S245" i="7"/>
  <c r="Q245" i="7"/>
  <c r="S244" i="7"/>
  <c r="Q244" i="7"/>
  <c r="S243" i="7"/>
  <c r="Q243" i="7"/>
  <c r="S242" i="7"/>
  <c r="Q242" i="7"/>
  <c r="S241" i="7"/>
  <c r="Q241" i="7"/>
  <c r="S240" i="7"/>
  <c r="Q240" i="7"/>
  <c r="S239" i="7"/>
  <c r="Q239" i="7"/>
  <c r="S238" i="7"/>
  <c r="Q238" i="7"/>
  <c r="S237" i="7"/>
  <c r="Q237" i="7"/>
  <c r="S236" i="7"/>
  <c r="Q236" i="7"/>
  <c r="S235" i="7"/>
  <c r="Q235" i="7"/>
  <c r="S144" i="7"/>
  <c r="Q144" i="7"/>
  <c r="S234" i="7"/>
  <c r="Q234" i="7"/>
  <c r="S233" i="7"/>
  <c r="Q233" i="7"/>
  <c r="S232" i="7"/>
  <c r="Q232" i="7"/>
  <c r="S231" i="7"/>
  <c r="Q231" i="7"/>
  <c r="Q104" i="7"/>
  <c r="Q126" i="7"/>
  <c r="AA230" i="7"/>
  <c r="Q230" i="7"/>
  <c r="S229" i="7"/>
  <c r="Q229" i="7"/>
  <c r="AA228" i="7"/>
  <c r="Q228" i="7"/>
  <c r="AA227" i="7"/>
  <c r="Q227" i="7"/>
  <c r="S226" i="7"/>
  <c r="Q226" i="7"/>
  <c r="S225" i="7"/>
  <c r="Q225" i="7"/>
  <c r="AA115" i="7"/>
  <c r="Q115" i="7"/>
  <c r="S224" i="7"/>
  <c r="Q224" i="7"/>
  <c r="S223" i="7"/>
  <c r="Q223" i="7"/>
  <c r="S222" i="7"/>
  <c r="Q222" i="7"/>
  <c r="S221" i="7"/>
  <c r="Q221" i="7"/>
  <c r="S143" i="7"/>
  <c r="Q143" i="7"/>
  <c r="S220" i="7"/>
  <c r="Q220" i="7"/>
  <c r="S219" i="7"/>
  <c r="Q219" i="7"/>
  <c r="AA127" i="7"/>
  <c r="Q127" i="7"/>
  <c r="Q124" i="7"/>
  <c r="AA128" i="7"/>
  <c r="Q128" i="7"/>
  <c r="S218" i="7"/>
  <c r="Q218" i="7"/>
  <c r="AA107" i="7"/>
  <c r="Q107" i="7"/>
  <c r="S142" i="7"/>
  <c r="Q142" i="7"/>
  <c r="S217" i="7"/>
  <c r="Q217" i="7"/>
  <c r="S216" i="7"/>
  <c r="Q216" i="7"/>
  <c r="AA111" i="7"/>
  <c r="Q111" i="7"/>
  <c r="S215" i="7"/>
  <c r="Q215" i="7"/>
  <c r="AA105" i="7"/>
  <c r="Q105" i="7"/>
  <c r="S214" i="7"/>
  <c r="Q214" i="7"/>
  <c r="AA112" i="7"/>
  <c r="Q112" i="7"/>
  <c r="S213" i="7"/>
  <c r="Q213" i="7"/>
  <c r="S141" i="7"/>
  <c r="Q141" i="7"/>
  <c r="S212" i="7"/>
  <c r="Q212" i="7"/>
  <c r="Q140" i="7"/>
  <c r="Q139" i="7"/>
  <c r="Q210" i="7"/>
  <c r="AA43" i="7"/>
  <c r="Q43" i="7"/>
  <c r="AA32" i="7"/>
  <c r="Q32" i="7"/>
  <c r="AA110" i="7"/>
  <c r="Q110" i="7"/>
  <c r="AA109" i="7"/>
  <c r="Q109" i="7"/>
  <c r="AA60" i="7"/>
  <c r="Q60" i="7"/>
  <c r="AA50" i="7"/>
  <c r="Q50" i="7"/>
  <c r="AA48" i="7"/>
  <c r="Q48" i="7"/>
  <c r="AA17" i="7"/>
  <c r="Q17" i="7"/>
  <c r="AA209" i="7"/>
  <c r="Q209" i="7"/>
  <c r="AA93" i="7"/>
  <c r="Q93" i="7"/>
  <c r="AA49" i="7"/>
  <c r="Q49" i="7"/>
  <c r="Q208" i="7"/>
  <c r="Q207" i="7"/>
  <c r="AA138" i="7"/>
  <c r="Q138" i="7"/>
  <c r="AA136" i="7"/>
  <c r="Q136" i="7"/>
  <c r="AA206" i="7"/>
  <c r="Q206" i="7"/>
  <c r="AA132" i="7"/>
  <c r="Q132" i="7"/>
  <c r="AA131" i="7"/>
  <c r="Q131" i="7"/>
  <c r="AA130" i="7"/>
  <c r="Q130" i="7"/>
  <c r="AA129" i="7"/>
  <c r="Q129" i="7"/>
  <c r="AA120" i="7"/>
  <c r="Q120" i="7"/>
  <c r="AA119" i="7"/>
  <c r="Q119" i="7"/>
  <c r="AA100" i="7"/>
  <c r="Q100" i="7"/>
  <c r="AA99" i="7"/>
  <c r="Q99" i="7"/>
  <c r="AA98" i="7"/>
  <c r="Q98" i="7"/>
  <c r="AA97" i="7"/>
  <c r="Q97" i="7"/>
  <c r="AA96" i="7"/>
  <c r="Q96" i="7"/>
  <c r="AA95" i="7"/>
  <c r="Q95" i="7"/>
  <c r="AA94" i="7"/>
  <c r="Q94" i="7"/>
  <c r="AA90" i="7"/>
  <c r="Q90" i="7"/>
  <c r="AA89" i="7"/>
  <c r="Q89" i="7"/>
  <c r="AA74" i="7"/>
  <c r="Q74" i="7"/>
  <c r="AA58" i="7"/>
  <c r="Q58" i="7"/>
  <c r="AA57" i="7"/>
  <c r="Q57" i="7"/>
  <c r="AA56" i="7"/>
  <c r="Q56" i="7"/>
  <c r="AA42" i="7"/>
  <c r="Q42" i="7"/>
  <c r="AA41" i="7"/>
  <c r="Q41" i="7"/>
  <c r="AA40" i="7"/>
  <c r="Q40" i="7"/>
  <c r="AA39" i="7"/>
  <c r="Q39" i="7"/>
  <c r="AA38" i="7"/>
  <c r="Q38" i="7"/>
  <c r="AA37" i="7"/>
  <c r="Q37" i="7"/>
  <c r="AA36" i="7"/>
  <c r="Q36" i="7"/>
  <c r="AA30" i="7"/>
  <c r="Q30" i="7"/>
  <c r="AA29" i="7"/>
  <c r="Q29" i="7"/>
  <c r="AA28" i="7"/>
  <c r="Q28" i="7"/>
  <c r="AA27" i="7"/>
  <c r="Q27" i="7"/>
  <c r="AA26" i="7"/>
  <c r="Q26" i="7"/>
  <c r="AA25" i="7"/>
  <c r="Q25" i="7"/>
  <c r="AA24" i="7"/>
  <c r="Q24" i="7"/>
  <c r="AA15" i="7"/>
  <c r="Q15" i="7"/>
  <c r="AA11" i="7"/>
  <c r="AA10" i="7"/>
  <c r="Q10" i="7"/>
  <c r="AA9" i="7"/>
  <c r="Q9" i="7"/>
  <c r="AA6" i="7"/>
  <c r="Q6" i="7"/>
  <c r="AA5" i="7"/>
  <c r="Q5" i="7"/>
  <c r="AA121" i="7"/>
  <c r="Q121" i="7"/>
  <c r="AA103" i="7"/>
  <c r="Q103" i="7"/>
  <c r="AA102" i="7"/>
  <c r="Q102" i="7"/>
  <c r="AA101" i="7"/>
  <c r="Q101" i="7"/>
  <c r="AA82" i="7"/>
  <c r="Q82" i="7"/>
  <c r="AA73" i="7"/>
  <c r="Q73" i="7"/>
  <c r="AA63" i="7"/>
  <c r="Q63" i="7"/>
  <c r="AA52" i="7"/>
  <c r="Q52" i="7"/>
  <c r="AA31" i="7"/>
  <c r="Q31" i="7"/>
  <c r="AA83" i="7"/>
  <c r="Q83" i="7"/>
  <c r="AA81" i="7"/>
  <c r="Q81" i="7"/>
  <c r="AA205" i="7"/>
  <c r="Q205" i="7"/>
  <c r="AA204" i="7"/>
  <c r="Q204" i="7"/>
  <c r="AA203" i="7"/>
  <c r="Q203" i="7"/>
  <c r="AA202" i="7"/>
  <c r="Q202" i="7"/>
  <c r="AA162" i="7"/>
  <c r="Q162" i="7"/>
  <c r="AA161" i="7"/>
  <c r="Q161" i="7"/>
  <c r="AA160" i="7"/>
  <c r="Q160" i="7"/>
  <c r="AA159" i="7"/>
  <c r="Q159" i="7"/>
  <c r="AA158" i="7"/>
  <c r="Q158" i="7"/>
  <c r="AA157" i="7"/>
  <c r="Q157" i="7"/>
  <c r="AA156" i="7"/>
  <c r="Q156" i="7"/>
  <c r="AA155" i="7"/>
  <c r="Q155" i="7"/>
  <c r="AA154" i="7"/>
  <c r="Q154" i="7"/>
  <c r="AA153" i="7"/>
  <c r="Q153" i="7"/>
  <c r="AA152" i="7"/>
  <c r="Q152" i="7"/>
  <c r="AA151" i="7"/>
  <c r="Q151" i="7"/>
  <c r="AA201" i="7"/>
  <c r="Q201" i="7"/>
  <c r="AA200" i="7"/>
  <c r="Q200" i="7"/>
  <c r="AA199" i="7"/>
  <c r="Q199" i="7"/>
  <c r="AA198" i="7"/>
  <c r="Q198" i="7"/>
  <c r="AA91" i="7"/>
  <c r="Q91" i="7"/>
  <c r="AA87" i="7"/>
  <c r="Q87" i="7"/>
  <c r="AA70" i="7"/>
  <c r="Q70" i="7"/>
  <c r="AA69" i="7"/>
  <c r="Q69" i="7"/>
  <c r="AA45" i="7"/>
  <c r="Q45" i="7"/>
  <c r="AA21" i="7"/>
  <c r="Q21" i="7"/>
  <c r="AA4" i="7"/>
  <c r="Q4" i="7"/>
  <c r="AA62" i="7"/>
  <c r="Q62" i="7"/>
  <c r="AA197" i="7"/>
  <c r="Q197" i="7"/>
  <c r="AA196" i="7"/>
  <c r="Q196" i="7"/>
  <c r="AA7" i="7"/>
  <c r="Q7" i="7"/>
  <c r="AA195" i="7"/>
  <c r="Q195" i="7"/>
  <c r="AA122" i="7"/>
  <c r="Q122" i="7"/>
  <c r="AA92" i="7"/>
  <c r="Q92" i="7"/>
  <c r="AA75" i="7"/>
  <c r="Q75" i="7"/>
  <c r="AA68" i="7"/>
  <c r="Q68" i="7"/>
  <c r="AA61" i="7"/>
  <c r="Q61" i="7"/>
  <c r="AA44" i="7"/>
  <c r="Q44" i="7"/>
  <c r="AA35" i="7"/>
  <c r="Q35" i="7"/>
  <c r="AA33" i="7"/>
  <c r="Q33" i="7"/>
  <c r="AA19" i="7"/>
  <c r="Q19" i="7"/>
  <c r="Q194" i="7"/>
  <c r="Q193" i="7"/>
  <c r="Q192" i="7"/>
  <c r="Q20" i="7"/>
  <c r="Q191" i="7"/>
  <c r="Q190" i="7"/>
  <c r="AA189" i="7"/>
  <c r="Q189" i="7"/>
  <c r="AA188" i="7"/>
  <c r="Q188" i="7"/>
  <c r="AA187" i="7"/>
  <c r="Q187" i="7"/>
  <c r="AA12" i="7"/>
  <c r="Q12" i="7"/>
  <c r="Q186" i="7"/>
  <c r="Q80" i="7"/>
  <c r="Q53" i="7"/>
  <c r="Q79" i="7"/>
  <c r="Q72" i="7"/>
  <c r="Q51" i="7"/>
  <c r="Q185" i="7"/>
  <c r="AA77" i="7"/>
  <c r="Q77" i="7"/>
  <c r="AA150" i="7"/>
  <c r="Q150" i="7"/>
  <c r="AA184" i="7"/>
  <c r="Q184" i="7"/>
  <c r="AA183" i="7"/>
  <c r="Q183" i="7"/>
  <c r="AA182" i="7"/>
  <c r="Q182" i="7"/>
  <c r="AA181" i="7"/>
  <c r="Q181" i="7"/>
  <c r="AA180" i="7"/>
  <c r="Q180" i="7"/>
  <c r="Q149" i="7"/>
  <c r="Q179" i="7"/>
  <c r="Q178" i="7"/>
  <c r="Q177" i="7"/>
  <c r="Q176" i="7"/>
  <c r="Q175" i="7"/>
  <c r="Q174" i="7"/>
  <c r="Q173" i="7"/>
  <c r="Q172" i="7"/>
  <c r="Q171" i="7"/>
  <c r="Q170" i="7"/>
  <c r="Q169" i="7"/>
  <c r="Q168" i="7"/>
  <c r="Q167" i="7"/>
  <c r="Q166" i="7"/>
  <c r="Q165" i="7"/>
  <c r="S375" i="7" l="1"/>
  <c r="S373" i="7"/>
  <c r="Q373" i="7"/>
  <c r="U213" i="7"/>
  <c r="T213" i="21"/>
  <c r="U215" i="7"/>
  <c r="T215" i="21"/>
  <c r="U142" i="7"/>
  <c r="T142" i="21"/>
  <c r="U264" i="7"/>
  <c r="T264" i="21"/>
  <c r="U266" i="7"/>
  <c r="T266" i="21"/>
  <c r="U270" i="7"/>
  <c r="T270" i="21"/>
  <c r="U274" i="7"/>
  <c r="T274" i="21"/>
  <c r="U276" i="7"/>
  <c r="T276" i="21"/>
  <c r="U279" i="7"/>
  <c r="T279" i="21"/>
  <c r="U285" i="7"/>
  <c r="T285" i="21"/>
  <c r="U288" i="7"/>
  <c r="T288" i="21"/>
  <c r="U294" i="7"/>
  <c r="T294" i="21"/>
  <c r="U297" i="7"/>
  <c r="T297" i="21"/>
  <c r="U220" i="7"/>
  <c r="T220" i="21"/>
  <c r="U231" i="7"/>
  <c r="T231" i="21"/>
  <c r="U144" i="7"/>
  <c r="T144" i="21"/>
  <c r="U238" i="7"/>
  <c r="T238" i="21"/>
  <c r="U244" i="7"/>
  <c r="T244" i="21"/>
  <c r="U252" i="7"/>
  <c r="T252" i="21"/>
  <c r="U261" i="7"/>
  <c r="T261" i="21"/>
  <c r="U141" i="7"/>
  <c r="T141" i="21"/>
  <c r="U217" i="7"/>
  <c r="T217" i="21"/>
  <c r="U265" i="7"/>
  <c r="T265" i="21"/>
  <c r="U267" i="7"/>
  <c r="T267" i="21"/>
  <c r="U269" i="7"/>
  <c r="T269" i="21"/>
  <c r="U271" i="7"/>
  <c r="T271" i="21"/>
  <c r="U273" i="7"/>
  <c r="T273" i="21"/>
  <c r="U275" i="7"/>
  <c r="T275" i="21"/>
  <c r="U277" i="7"/>
  <c r="T277" i="21"/>
  <c r="U278" i="7"/>
  <c r="T278" i="21"/>
  <c r="U280" i="7"/>
  <c r="T280" i="21"/>
  <c r="U281" i="7"/>
  <c r="T281" i="21"/>
  <c r="U148" i="7"/>
  <c r="T148" i="21"/>
  <c r="U287" i="7"/>
  <c r="T287" i="21"/>
  <c r="U289" i="7"/>
  <c r="T289" i="21"/>
  <c r="U291" i="7"/>
  <c r="T291" i="21"/>
  <c r="U295" i="7"/>
  <c r="T295" i="21"/>
  <c r="U212" i="7"/>
  <c r="T212" i="21"/>
  <c r="U214" i="7"/>
  <c r="T214" i="21"/>
  <c r="U216" i="7"/>
  <c r="T216" i="21"/>
  <c r="U218" i="7"/>
  <c r="T218" i="21"/>
  <c r="U268" i="7"/>
  <c r="T268" i="21"/>
  <c r="U272" i="7"/>
  <c r="T272" i="21"/>
  <c r="U147" i="7"/>
  <c r="T147" i="21"/>
  <c r="U286" i="7"/>
  <c r="T286" i="21"/>
  <c r="U290" i="7"/>
  <c r="T290" i="21"/>
  <c r="U296" i="7"/>
  <c r="T296" i="21"/>
  <c r="U221" i="7"/>
  <c r="T221" i="21"/>
  <c r="U223" i="7"/>
  <c r="T223" i="21"/>
  <c r="U226" i="7"/>
  <c r="T226" i="21"/>
  <c r="U233" i="7"/>
  <c r="T233" i="21"/>
  <c r="U236" i="7"/>
  <c r="T236" i="21"/>
  <c r="U240" i="7"/>
  <c r="T240" i="21"/>
  <c r="U242" i="7"/>
  <c r="T242" i="21"/>
  <c r="U246" i="7"/>
  <c r="T246" i="21"/>
  <c r="U248" i="7"/>
  <c r="T248" i="21"/>
  <c r="U250" i="7"/>
  <c r="T250" i="21"/>
  <c r="U254" i="7"/>
  <c r="T254" i="21"/>
  <c r="U256" i="7"/>
  <c r="T256" i="21"/>
  <c r="U259" i="7"/>
  <c r="T259" i="21"/>
  <c r="U262" i="7"/>
  <c r="T262" i="21"/>
  <c r="U283" i="7"/>
  <c r="T283" i="21"/>
  <c r="U219" i="7"/>
  <c r="T219" i="21"/>
  <c r="U143" i="7"/>
  <c r="T143" i="21"/>
  <c r="U222" i="7"/>
  <c r="T222" i="21"/>
  <c r="U224" i="7"/>
  <c r="T224" i="21"/>
  <c r="U225" i="7"/>
  <c r="T225" i="21"/>
  <c r="U229" i="7"/>
  <c r="T229" i="21"/>
  <c r="U232" i="7"/>
  <c r="T232" i="21"/>
  <c r="U234" i="7"/>
  <c r="T234" i="21"/>
  <c r="U235" i="7"/>
  <c r="T235" i="21"/>
  <c r="U237" i="7"/>
  <c r="T237" i="21"/>
  <c r="U239" i="7"/>
  <c r="T239" i="21"/>
  <c r="U241" i="7"/>
  <c r="T241" i="21"/>
  <c r="U243" i="7"/>
  <c r="T243" i="21"/>
  <c r="U245" i="7"/>
  <c r="T245" i="21"/>
  <c r="U247" i="7"/>
  <c r="T247" i="21"/>
  <c r="U249" i="7"/>
  <c r="T249" i="21"/>
  <c r="U251" i="7"/>
  <c r="T251" i="21"/>
  <c r="U253" i="7"/>
  <c r="T253" i="21"/>
  <c r="U255" i="7"/>
  <c r="T255" i="21"/>
  <c r="U257" i="7"/>
  <c r="T257" i="21"/>
  <c r="U145" i="7"/>
  <c r="T145" i="21"/>
  <c r="U260" i="7"/>
  <c r="T260" i="21"/>
  <c r="U146" i="7"/>
  <c r="T146" i="21"/>
  <c r="U298" i="7"/>
  <c r="T298" i="21"/>
  <c r="V231" i="7"/>
  <c r="V238" i="7"/>
  <c r="V246" i="7"/>
  <c r="V254" i="7"/>
  <c r="V264" i="7"/>
  <c r="V266" i="7"/>
  <c r="V296" i="7"/>
  <c r="V225" i="7"/>
  <c r="V229" i="7"/>
  <c r="V243" i="7"/>
  <c r="V251" i="7"/>
  <c r="V146" i="7"/>
  <c r="V267" i="7"/>
  <c r="V275" i="7"/>
  <c r="V278" i="7"/>
  <c r="V281" i="7"/>
  <c r="V289" i="7"/>
  <c r="V212" i="7"/>
  <c r="V216" i="7"/>
  <c r="V218" i="7"/>
  <c r="V220" i="7"/>
  <c r="V223" i="7"/>
  <c r="V226" i="7"/>
  <c r="V236" i="7"/>
  <c r="V240" i="7"/>
  <c r="V244" i="7"/>
  <c r="V248" i="7"/>
  <c r="V252" i="7"/>
  <c r="V259" i="7"/>
  <c r="V262" i="7"/>
  <c r="V272" i="7"/>
  <c r="V286" i="7"/>
  <c r="V290" i="7"/>
  <c r="V217" i="7"/>
  <c r="V283" i="7"/>
  <c r="V143" i="7"/>
  <c r="V234" i="7"/>
  <c r="V241" i="7"/>
  <c r="V249" i="7"/>
  <c r="V257" i="7"/>
  <c r="V260" i="7"/>
  <c r="V280" i="7"/>
  <c r="V287" i="7"/>
  <c r="V255" i="7"/>
  <c r="V235" i="7"/>
  <c r="V277" i="7"/>
  <c r="V222" i="7"/>
  <c r="V269" i="7"/>
  <c r="V297" i="7"/>
  <c r="V270" i="7"/>
  <c r="V285" i="7"/>
  <c r="V239" i="7"/>
  <c r="V273" i="7"/>
  <c r="V294" i="7"/>
  <c r="V148" i="7"/>
  <c r="V147" i="7"/>
  <c r="V233" i="7"/>
  <c r="V256" i="7"/>
  <c r="V274" i="7"/>
  <c r="V295" i="7"/>
  <c r="V219" i="7"/>
  <c r="V247" i="7"/>
  <c r="V214" i="7"/>
  <c r="V265" i="7"/>
  <c r="V232" i="7"/>
  <c r="V145" i="7"/>
  <c r="V213" i="7"/>
  <c r="V288" i="7"/>
  <c r="V298" i="7"/>
  <c r="V245" i="7"/>
  <c r="V221" i="7"/>
  <c r="V242" i="7"/>
  <c r="V268" i="7"/>
  <c r="V271" i="7"/>
  <c r="V261" i="7"/>
  <c r="V215" i="7"/>
  <c r="V237" i="7"/>
  <c r="V291" i="7"/>
  <c r="V144" i="7"/>
  <c r="V250" i="7"/>
  <c r="V276" i="7"/>
  <c r="V224" i="7"/>
  <c r="V141" i="7"/>
  <c r="V142" i="7"/>
  <c r="V253" i="7"/>
  <c r="V279" i="7"/>
  <c r="U375" i="7" l="1"/>
  <c r="V375" i="7"/>
  <c r="W241" i="21"/>
  <c r="W243" i="21"/>
  <c r="V373" i="7"/>
  <c r="W249" i="21"/>
  <c r="W246" i="21"/>
  <c r="U373" i="7"/>
  <c r="X142" i="7"/>
  <c r="W142" i="21"/>
  <c r="X242" i="7"/>
  <c r="W242" i="21"/>
  <c r="X147" i="7"/>
  <c r="W147" i="21"/>
  <c r="X255" i="7"/>
  <c r="W255" i="21"/>
  <c r="X143" i="7"/>
  <c r="W143" i="21"/>
  <c r="X236" i="7"/>
  <c r="W236" i="21"/>
  <c r="X146" i="7"/>
  <c r="W146" i="21"/>
  <c r="X254" i="7"/>
  <c r="W254" i="21"/>
  <c r="X215" i="7"/>
  <c r="W215" i="21"/>
  <c r="X265" i="7"/>
  <c r="W265" i="21"/>
  <c r="X269" i="7"/>
  <c r="W269" i="21"/>
  <c r="X286" i="7"/>
  <c r="W286" i="21"/>
  <c r="X218" i="7"/>
  <c r="W218" i="21"/>
  <c r="X144" i="7"/>
  <c r="W144" i="21"/>
  <c r="X261" i="7"/>
  <c r="W261" i="21"/>
  <c r="X213" i="7"/>
  <c r="W213" i="21"/>
  <c r="X274" i="7"/>
  <c r="W274" i="21"/>
  <c r="X285" i="7"/>
  <c r="W285" i="21"/>
  <c r="X287" i="7"/>
  <c r="W287" i="21"/>
  <c r="X272" i="7"/>
  <c r="W272" i="21"/>
  <c r="X226" i="7"/>
  <c r="W226" i="21"/>
  <c r="X278" i="7"/>
  <c r="W278" i="21"/>
  <c r="X296" i="7"/>
  <c r="W296" i="21"/>
  <c r="X224" i="7"/>
  <c r="W224" i="21"/>
  <c r="X245" i="7"/>
  <c r="W245" i="21"/>
  <c r="X256" i="7"/>
  <c r="W256" i="21"/>
  <c r="X262" i="7"/>
  <c r="W262" i="21"/>
  <c r="X223" i="7"/>
  <c r="W223" i="21"/>
  <c r="X275" i="7"/>
  <c r="W275" i="21"/>
  <c r="X238" i="7"/>
  <c r="W238" i="21"/>
  <c r="X250" i="7"/>
  <c r="W250" i="21"/>
  <c r="X288" i="7"/>
  <c r="W288" i="21"/>
  <c r="X295" i="7"/>
  <c r="W295" i="21"/>
  <c r="X239" i="7"/>
  <c r="W239" i="21"/>
  <c r="X257" i="7"/>
  <c r="W257" i="21"/>
  <c r="X252" i="7"/>
  <c r="W252" i="21"/>
  <c r="X281" i="7"/>
  <c r="W281" i="21"/>
  <c r="X225" i="7"/>
  <c r="W225" i="21"/>
  <c r="X141" i="7"/>
  <c r="W141" i="21"/>
  <c r="X221" i="7"/>
  <c r="W221" i="21"/>
  <c r="X214" i="7"/>
  <c r="W214" i="21"/>
  <c r="X148" i="7"/>
  <c r="W148" i="21"/>
  <c r="X222" i="7"/>
  <c r="W222" i="21"/>
  <c r="X283" i="7"/>
  <c r="W283" i="21"/>
  <c r="X248" i="7"/>
  <c r="W248" i="21"/>
  <c r="X216" i="7"/>
  <c r="W216" i="21"/>
  <c r="X251" i="7"/>
  <c r="W251" i="21"/>
  <c r="X279" i="7"/>
  <c r="W279" i="21"/>
  <c r="X291" i="7"/>
  <c r="W291" i="21"/>
  <c r="X271" i="7"/>
  <c r="W271" i="21"/>
  <c r="X145" i="7"/>
  <c r="W145" i="21"/>
  <c r="X247" i="7"/>
  <c r="W247" i="21"/>
  <c r="X294" i="7"/>
  <c r="W294" i="21"/>
  <c r="X270" i="7"/>
  <c r="W270" i="21"/>
  <c r="X277" i="7"/>
  <c r="W277" i="21"/>
  <c r="X280" i="7"/>
  <c r="W280" i="21"/>
  <c r="X217" i="7"/>
  <c r="W217" i="21"/>
  <c r="X244" i="7"/>
  <c r="W244" i="21"/>
  <c r="X212" i="7"/>
  <c r="W212" i="21"/>
  <c r="X266" i="7"/>
  <c r="W266" i="21"/>
  <c r="X253" i="7"/>
  <c r="W253" i="21"/>
  <c r="X276" i="7"/>
  <c r="W276" i="21"/>
  <c r="X237" i="7"/>
  <c r="W237" i="21"/>
  <c r="X268" i="7"/>
  <c r="W268" i="21"/>
  <c r="X298" i="7"/>
  <c r="W298" i="21"/>
  <c r="X232" i="7"/>
  <c r="W232" i="21"/>
  <c r="X219" i="7"/>
  <c r="W219" i="21"/>
  <c r="X233" i="7"/>
  <c r="W233" i="21"/>
  <c r="X273" i="7"/>
  <c r="W273" i="21"/>
  <c r="X297" i="7"/>
  <c r="W297" i="21"/>
  <c r="X235" i="7"/>
  <c r="W235" i="21"/>
  <c r="X260" i="7"/>
  <c r="W260" i="21"/>
  <c r="X234" i="7"/>
  <c r="W234" i="21"/>
  <c r="X290" i="7"/>
  <c r="W290" i="21"/>
  <c r="X259" i="7"/>
  <c r="W259" i="21"/>
  <c r="X240" i="7"/>
  <c r="W240" i="21"/>
  <c r="X220" i="7"/>
  <c r="W220" i="21"/>
  <c r="X289" i="7"/>
  <c r="W289" i="21"/>
  <c r="X267" i="7"/>
  <c r="W267" i="21"/>
  <c r="X229" i="7"/>
  <c r="W229" i="21"/>
  <c r="X264" i="7"/>
  <c r="W264" i="21"/>
  <c r="X231" i="7"/>
  <c r="W231" i="21"/>
  <c r="Y243" i="7"/>
  <c r="AB243" i="7" s="1"/>
  <c r="X243" i="7"/>
  <c r="Y249" i="7"/>
  <c r="AA249" i="7" s="1"/>
  <c r="X249" i="7"/>
  <c r="Y246" i="7"/>
  <c r="AB246" i="7" s="1"/>
  <c r="X246" i="7"/>
  <c r="Y241" i="7"/>
  <c r="AB241" i="7" s="1"/>
  <c r="X241" i="7"/>
  <c r="AD293" i="7"/>
  <c r="X293" i="7"/>
  <c r="Y259" i="7"/>
  <c r="AB259" i="7" s="1"/>
  <c r="Y267" i="7"/>
  <c r="AB267" i="7" s="1"/>
  <c r="Y248" i="7"/>
  <c r="AB248" i="7" s="1"/>
  <c r="Y225" i="7"/>
  <c r="AA225" i="7" s="1"/>
  <c r="Y220" i="7"/>
  <c r="AB220" i="7" s="1"/>
  <c r="Y218" i="7"/>
  <c r="AB218" i="7" s="1"/>
  <c r="Y283" i="7"/>
  <c r="AA283" i="7" s="1"/>
  <c r="Y216" i="7"/>
  <c r="AB216" i="7" s="1"/>
  <c r="Y266" i="7"/>
  <c r="AA266" i="7" s="1"/>
  <c r="Y252" i="7"/>
  <c r="AB252" i="7" s="1"/>
  <c r="Y296" i="7"/>
  <c r="AB296" i="7" s="1"/>
  <c r="Y236" i="7"/>
  <c r="AB236" i="7" s="1"/>
  <c r="Y146" i="7"/>
  <c r="AA146" i="7" s="1"/>
  <c r="Y212" i="7"/>
  <c r="AB212" i="7" s="1"/>
  <c r="AD163" i="7"/>
  <c r="Y226" i="7"/>
  <c r="AA226" i="7" s="1"/>
  <c r="Y275" i="7"/>
  <c r="AB275" i="7" s="1"/>
  <c r="Y289" i="7"/>
  <c r="AB289" i="7" s="1"/>
  <c r="Y257" i="7"/>
  <c r="AB257" i="7" s="1"/>
  <c r="Y240" i="7"/>
  <c r="AA240" i="7" s="1"/>
  <c r="Y281" i="7"/>
  <c r="AB281" i="7" s="1"/>
  <c r="Y217" i="7"/>
  <c r="AB217" i="7" s="1"/>
  <c r="Y145" i="7"/>
  <c r="AA145" i="7" s="1"/>
  <c r="Y247" i="7"/>
  <c r="AA247" i="7" s="1"/>
  <c r="Y148" i="7"/>
  <c r="AB148" i="7" s="1"/>
  <c r="Y219" i="7"/>
  <c r="AA219" i="7" s="1"/>
  <c r="Y254" i="7"/>
  <c r="Y278" i="7"/>
  <c r="AB278" i="7" s="1"/>
  <c r="Y280" i="7"/>
  <c r="AA280" i="7" s="1"/>
  <c r="Y294" i="7"/>
  <c r="AB294" i="7" s="1"/>
  <c r="Y277" i="7"/>
  <c r="AA277" i="7" s="1"/>
  <c r="Y222" i="7"/>
  <c r="AB222" i="7" s="1"/>
  <c r="Y265" i="7"/>
  <c r="AA265" i="7" s="1"/>
  <c r="Y298" i="7"/>
  <c r="AA298" i="7" s="1"/>
  <c r="Y244" i="7"/>
  <c r="AA244" i="7" s="1"/>
  <c r="Y260" i="7"/>
  <c r="AB260" i="7" s="1"/>
  <c r="Y274" i="7"/>
  <c r="AB274" i="7" s="1"/>
  <c r="Y239" i="7"/>
  <c r="AB239" i="7" s="1"/>
  <c r="Y235" i="7"/>
  <c r="AA235" i="7" s="1"/>
  <c r="Y288" i="7"/>
  <c r="AB288" i="7" s="1"/>
  <c r="Y214" i="7"/>
  <c r="AA214" i="7" s="1"/>
  <c r="Y256" i="7"/>
  <c r="AB256" i="7" s="1"/>
  <c r="Y285" i="7"/>
  <c r="AA285" i="7" s="1"/>
  <c r="Y255" i="7"/>
  <c r="AA255" i="7" s="1"/>
  <c r="Y229" i="7"/>
  <c r="Y238" i="7"/>
  <c r="Y251" i="7"/>
  <c r="AA251" i="7" s="1"/>
  <c r="Y234" i="7"/>
  <c r="AB234" i="7" s="1"/>
  <c r="Y286" i="7"/>
  <c r="AB286" i="7" s="1"/>
  <c r="Y233" i="7"/>
  <c r="AB233" i="7" s="1"/>
  <c r="Y270" i="7"/>
  <c r="AA270" i="7" s="1"/>
  <c r="Y273" i="7"/>
  <c r="AA273" i="7" s="1"/>
  <c r="Y290" i="7"/>
  <c r="AA290" i="7" s="1"/>
  <c r="Y223" i="7"/>
  <c r="AB223" i="7" s="1"/>
  <c r="Y262" i="7"/>
  <c r="AA262" i="7" s="1"/>
  <c r="Y143" i="7"/>
  <c r="AB143" i="7" s="1"/>
  <c r="Y147" i="7"/>
  <c r="AB147" i="7" s="1"/>
  <c r="Y297" i="7"/>
  <c r="AA297" i="7" s="1"/>
  <c r="Y287" i="7"/>
  <c r="Y272" i="7"/>
  <c r="Y264" i="7"/>
  <c r="Y231" i="7"/>
  <c r="Y295" i="7"/>
  <c r="AA295" i="7" s="1"/>
  <c r="Y269" i="7"/>
  <c r="AA269" i="7" s="1"/>
  <c r="AA241" i="7"/>
  <c r="Y213" i="7"/>
  <c r="Y232" i="7"/>
  <c r="Y215" i="7"/>
  <c r="Y242" i="7"/>
  <c r="Y224" i="7"/>
  <c r="AA137" i="7"/>
  <c r="Y253" i="7"/>
  <c r="Y237" i="7"/>
  <c r="Y276" i="7"/>
  <c r="AA124" i="7"/>
  <c r="Y268" i="7"/>
  <c r="AA126" i="7"/>
  <c r="Y291" i="7"/>
  <c r="Y261" i="7"/>
  <c r="Y250" i="7"/>
  <c r="Y221" i="7"/>
  <c r="Y144" i="7"/>
  <c r="Y279" i="7"/>
  <c r="Y142" i="7"/>
  <c r="Y141" i="7"/>
  <c r="Y271" i="7"/>
  <c r="Y245" i="7"/>
  <c r="X375" i="7" l="1"/>
  <c r="Y375" i="7"/>
  <c r="Y373" i="7"/>
  <c r="X373" i="7"/>
  <c r="AA243" i="7"/>
  <c r="AB249" i="7"/>
  <c r="AD294" i="7"/>
  <c r="AC294" i="21"/>
  <c r="AD289" i="7"/>
  <c r="AC289" i="21"/>
  <c r="AD267" i="7"/>
  <c r="AC267" i="21"/>
  <c r="AD274" i="7"/>
  <c r="AC274" i="21"/>
  <c r="AD148" i="7"/>
  <c r="AC148" i="21"/>
  <c r="AD281" i="7"/>
  <c r="AC281" i="21"/>
  <c r="AD275" i="7"/>
  <c r="AC275" i="21"/>
  <c r="AD220" i="7"/>
  <c r="AC220" i="21"/>
  <c r="AD259" i="7"/>
  <c r="AC259" i="21"/>
  <c r="AD241" i="7"/>
  <c r="AC241" i="21"/>
  <c r="AD233" i="7"/>
  <c r="AC233" i="21"/>
  <c r="AD239" i="7"/>
  <c r="AC239" i="21"/>
  <c r="AD252" i="7"/>
  <c r="AC252" i="21"/>
  <c r="AD147" i="7"/>
  <c r="AC147" i="21"/>
  <c r="AD286" i="7"/>
  <c r="AC286" i="21"/>
  <c r="AD243" i="7"/>
  <c r="AC243" i="21"/>
  <c r="AD143" i="7"/>
  <c r="AC143" i="21"/>
  <c r="AD234" i="7"/>
  <c r="AC234" i="21"/>
  <c r="AD288" i="7"/>
  <c r="AC288" i="21"/>
  <c r="AD260" i="7"/>
  <c r="AC260" i="21"/>
  <c r="AD222" i="7"/>
  <c r="AC222" i="21"/>
  <c r="AD278" i="7"/>
  <c r="AC278" i="21"/>
  <c r="AD236" i="7"/>
  <c r="AC236" i="21"/>
  <c r="AD216" i="7"/>
  <c r="AC216" i="21"/>
  <c r="AD223" i="7"/>
  <c r="AC223" i="21"/>
  <c r="AD256" i="7"/>
  <c r="AC256" i="21"/>
  <c r="AD217" i="7"/>
  <c r="AC217" i="21"/>
  <c r="AD212" i="7"/>
  <c r="AC212" i="21"/>
  <c r="AD218" i="7"/>
  <c r="AC218" i="21"/>
  <c r="AD257" i="7"/>
  <c r="AC257" i="21"/>
  <c r="AD296" i="7"/>
  <c r="AC296" i="21"/>
  <c r="AD248" i="7"/>
  <c r="AC248" i="21"/>
  <c r="AD246" i="7"/>
  <c r="AC246" i="21"/>
  <c r="AA218" i="7"/>
  <c r="AA246" i="7"/>
  <c r="AA293" i="7"/>
  <c r="AA220" i="7"/>
  <c r="AA259" i="7"/>
  <c r="AA147" i="7"/>
  <c r="AB225" i="7"/>
  <c r="AA278" i="7"/>
  <c r="AA216" i="7"/>
  <c r="AA248" i="7"/>
  <c r="AB283" i="7"/>
  <c r="AA267" i="7"/>
  <c r="AB145" i="7"/>
  <c r="AB266" i="7"/>
  <c r="AB146" i="7"/>
  <c r="AB244" i="7"/>
  <c r="AA239" i="7"/>
  <c r="AA217" i="7"/>
  <c r="AA281" i="7"/>
  <c r="AB255" i="7"/>
  <c r="AB247" i="7"/>
  <c r="AB262" i="7"/>
  <c r="AA252" i="7"/>
  <c r="AA233" i="7"/>
  <c r="AA212" i="7"/>
  <c r="AA222" i="7"/>
  <c r="AA163" i="7"/>
  <c r="AA296" i="7"/>
  <c r="AB214" i="7"/>
  <c r="AA274" i="7"/>
  <c r="AA236" i="7"/>
  <c r="AA143" i="7"/>
  <c r="AA289" i="7"/>
  <c r="AA260" i="7"/>
  <c r="AB240" i="7"/>
  <c r="AB226" i="7"/>
  <c r="AA257" i="7"/>
  <c r="AA275" i="7"/>
  <c r="AA148" i="7"/>
  <c r="AA256" i="7"/>
  <c r="AB235" i="7"/>
  <c r="AB265" i="7"/>
  <c r="AB290" i="7"/>
  <c r="AA234" i="7"/>
  <c r="AB270" i="7"/>
  <c r="AB280" i="7"/>
  <c r="AA286" i="7"/>
  <c r="AA288" i="7"/>
  <c r="AA287" i="7"/>
  <c r="AB287" i="7"/>
  <c r="AB219" i="7"/>
  <c r="AB297" i="7"/>
  <c r="AA231" i="7"/>
  <c r="AB231" i="7"/>
  <c r="AB277" i="7"/>
  <c r="AA238" i="7"/>
  <c r="AB238" i="7"/>
  <c r="AB285" i="7"/>
  <c r="AA264" i="7"/>
  <c r="AB264" i="7"/>
  <c r="AB251" i="7"/>
  <c r="AA223" i="7"/>
  <c r="AB273" i="7"/>
  <c r="AB229" i="7"/>
  <c r="AA229" i="7"/>
  <c r="AB254" i="7"/>
  <c r="AA254" i="7"/>
  <c r="AB298" i="7"/>
  <c r="AA294" i="7"/>
  <c r="AB272" i="7"/>
  <c r="AA272" i="7"/>
  <c r="AB295" i="7"/>
  <c r="AB269" i="7"/>
  <c r="AA232" i="7"/>
  <c r="AB232" i="7"/>
  <c r="AA213" i="7"/>
  <c r="AB213" i="7"/>
  <c r="AD263" i="7"/>
  <c r="AA263" i="7"/>
  <c r="AB253" i="7"/>
  <c r="AA253" i="7"/>
  <c r="AB271" i="7"/>
  <c r="AA271" i="7"/>
  <c r="AB237" i="7"/>
  <c r="AA237" i="7"/>
  <c r="AB142" i="7"/>
  <c r="AA142" i="7"/>
  <c r="AB224" i="7"/>
  <c r="AA224" i="7"/>
  <c r="AB215" i="7"/>
  <c r="AA215" i="7"/>
  <c r="AB245" i="7"/>
  <c r="AA245" i="7"/>
  <c r="AB141" i="7"/>
  <c r="AB375" i="7" s="1"/>
  <c r="AA141" i="7"/>
  <c r="AB242" i="7"/>
  <c r="AA242" i="7"/>
  <c r="AB144" i="7"/>
  <c r="AA144" i="7"/>
  <c r="AA116" i="7"/>
  <c r="AB261" i="7"/>
  <c r="AA261" i="7"/>
  <c r="AA104" i="7"/>
  <c r="AB250" i="7"/>
  <c r="AA250" i="7"/>
  <c r="AA114" i="7"/>
  <c r="AB279" i="7"/>
  <c r="AA279" i="7"/>
  <c r="AB221" i="7"/>
  <c r="AA221" i="7"/>
  <c r="AB291" i="7"/>
  <c r="AA291" i="7"/>
  <c r="AB268" i="7"/>
  <c r="AA268" i="7"/>
  <c r="AB276" i="7"/>
  <c r="AA276" i="7"/>
  <c r="AA375" i="7" l="1"/>
  <c r="AB373" i="7"/>
  <c r="AD249" i="7"/>
  <c r="AA373" i="7"/>
  <c r="AC249" i="21"/>
  <c r="AD245" i="7"/>
  <c r="AC245" i="21"/>
  <c r="AD253" i="7"/>
  <c r="AC253" i="21"/>
  <c r="AD298" i="7"/>
  <c r="AC298" i="21"/>
  <c r="AD264" i="7"/>
  <c r="AC264" i="21"/>
  <c r="AD226" i="7"/>
  <c r="AC226" i="21"/>
  <c r="AD255" i="7"/>
  <c r="AC255" i="21"/>
  <c r="AD273" i="7"/>
  <c r="AC273" i="21"/>
  <c r="AD219" i="7"/>
  <c r="AC219" i="21"/>
  <c r="AD146" i="7"/>
  <c r="AC146" i="21"/>
  <c r="AD283" i="7"/>
  <c r="AC283" i="21"/>
  <c r="AD225" i="7"/>
  <c r="AC225" i="21"/>
  <c r="AD250" i="7"/>
  <c r="AC250" i="21"/>
  <c r="AD224" i="7"/>
  <c r="AC224" i="21"/>
  <c r="AD295" i="7"/>
  <c r="AC295" i="21"/>
  <c r="AD297" i="7"/>
  <c r="AC297" i="21"/>
  <c r="AD276" i="7"/>
  <c r="AC276" i="21"/>
  <c r="AD290" i="7"/>
  <c r="AC290" i="21"/>
  <c r="AD144" i="7"/>
  <c r="AC144" i="21"/>
  <c r="AD272" i="7"/>
  <c r="AC272" i="21"/>
  <c r="AD231" i="7"/>
  <c r="AC231" i="21"/>
  <c r="AD287" i="7"/>
  <c r="AC287" i="21"/>
  <c r="AD280" i="7"/>
  <c r="AC280" i="21"/>
  <c r="AD265" i="7"/>
  <c r="AC265" i="21"/>
  <c r="AD262" i="7"/>
  <c r="AC262" i="21"/>
  <c r="AD266" i="7"/>
  <c r="AC266" i="21"/>
  <c r="AD242" i="7"/>
  <c r="AC242" i="21"/>
  <c r="AD237" i="7"/>
  <c r="AC237" i="21"/>
  <c r="AD229" i="7"/>
  <c r="AC229" i="21"/>
  <c r="AD244" i="7"/>
  <c r="AC244" i="21"/>
  <c r="AD291" i="7"/>
  <c r="AC291" i="21"/>
  <c r="AD279" i="7"/>
  <c r="AC279" i="21"/>
  <c r="AD232" i="7"/>
  <c r="AC232" i="21"/>
  <c r="AD277" i="7"/>
  <c r="AC277" i="21"/>
  <c r="AD240" i="7"/>
  <c r="AC240" i="21"/>
  <c r="AD141" i="7"/>
  <c r="AC141" i="21"/>
  <c r="AD215" i="7"/>
  <c r="AC215" i="21"/>
  <c r="AD142" i="7"/>
  <c r="AC142" i="21"/>
  <c r="AD271" i="7"/>
  <c r="AC271" i="21"/>
  <c r="AD254" i="7"/>
  <c r="AC254" i="21"/>
  <c r="AD285" i="7"/>
  <c r="AC285" i="21"/>
  <c r="AD268" i="7"/>
  <c r="AC268" i="21"/>
  <c r="AD221" i="7"/>
  <c r="AC221" i="21"/>
  <c r="AD261" i="7"/>
  <c r="AC261" i="21"/>
  <c r="AD213" i="7"/>
  <c r="AC213" i="21"/>
  <c r="AD269" i="7"/>
  <c r="AC269" i="21"/>
  <c r="AD251" i="7"/>
  <c r="AC251" i="21"/>
  <c r="AD238" i="7"/>
  <c r="AC238" i="21"/>
  <c r="AD270" i="7"/>
  <c r="AC270" i="21"/>
  <c r="AD235" i="7"/>
  <c r="AC235" i="21"/>
  <c r="AD214" i="7"/>
  <c r="AC214" i="21"/>
  <c r="AD247" i="7"/>
  <c r="AC247" i="21"/>
  <c r="AD145" i="7"/>
  <c r="AC145" i="21"/>
  <c r="AD375" i="7" l="1"/>
  <c r="AD373" i="7"/>
</calcChain>
</file>

<file path=xl/comments1.xml><?xml version="1.0" encoding="utf-8"?>
<comments xmlns="http://schemas.openxmlformats.org/spreadsheetml/2006/main">
  <authors>
    <author>tc={7BE6CD5D-F532-4774-B5C9-5D8224387717}</author>
  </authors>
  <commentList>
    <comment ref="L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Fliterered out Retooling, New and No Information</t>
        </r>
      </text>
    </comment>
  </commentList>
</comments>
</file>

<file path=xl/connections.xml><?xml version="1.0" encoding="utf-8"?>
<connections xmlns="http://schemas.openxmlformats.org/spreadsheetml/2006/main">
  <connection id="1" keepAlive="1" name="Query - Errors in Reviewed MYC templates-selected" description="Connection to the 'Errors in Reviewed MYC templates-selected' query in the workbook." type="5" refreshedVersion="0" background="1">
    <dbPr connection="Provider=Microsoft.Mashup.OleDb.1;Data Source=$Workbook$;Location=&quot;Errors in Reviewed MYC templates-selected&quot;;Extended Properties=&quot;&quot;" command="SELECT * FROM [Errors in Reviewed MYC templates-selected]"/>
  </connection>
  <connection id="2"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3" keepAlive="1" name="Query - Reviewed MYC templates-selected" description="Connection to the 'Reviewed MYC templates-selected' query in the workbook." type="5" refreshedVersion="6" background="1" saveData="1">
    <dbPr connection="Provider=Microsoft.Mashup.OleDb.1;Data Source=$Workbook$;Location=Reviewed MYC templates-selected;Extended Properties=&quot;&quot;" command="SELECT * FROM [Reviewed MYC templates-selected]"/>
  </connection>
  <connection id="4"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5"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6"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7"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8" name="WorksheetConnection_Master MYC 2021.xlsx!Aggregate" type="102" refreshedVersion="6" minRefreshableVersion="5">
    <extLst>
      <ext xmlns:x15="http://schemas.microsoft.com/office/spreadsheetml/2010/11/main" uri="{DE250136-89BD-433C-8126-D09CA5730AF9}">
        <x15:connection id="Aggregate" autoDelete="1">
          <x15:rangePr sourceName="_xlcn.WorksheetConnection_MasterMYC2021.xlsxAggregate1"/>
        </x15:connection>
      </ext>
    </extLst>
  </connection>
  <connection id="9" name="WorksheetConnection_Master MYC 2021.xlsx!MasteTable" type="102" refreshedVersion="6" minRefreshableVersion="5">
    <extLst>
      <ext xmlns:x15="http://schemas.microsoft.com/office/spreadsheetml/2010/11/main" uri="{DE250136-89BD-433C-8126-D09CA5730AF9}">
        <x15:connection id="MasteTable" autoDelete="1">
          <x15:rangePr sourceName="_xlcn.WorksheetConnection_MasterMYC2021.xlsxMasteTable1"/>
        </x15:connection>
      </ext>
    </extLst>
  </connection>
  <connection id="10" name="WorksheetConnection_Master MYC 2021.xlsx!MTEF" type="102" refreshedVersion="6" minRefreshableVersion="5">
    <extLst>
      <ext xmlns:x15="http://schemas.microsoft.com/office/spreadsheetml/2010/11/main" uri="{DE250136-89BD-433C-8126-D09CA5730AF9}">
        <x15:connection id="MTEF" autoDelete="1">
          <x15:rangePr sourceName="mtef"/>
        </x15:connection>
      </ext>
    </extLst>
  </connection>
  <connection id="11" name="WorksheetConnection_Master MYC 2021.xlsx!PAProjects" type="102" refreshedVersion="6" minRefreshableVersion="5">
    <extLst>
      <ext xmlns:x15="http://schemas.microsoft.com/office/spreadsheetml/2010/11/main" uri="{DE250136-89BD-433C-8126-D09CA5730AF9}">
        <x15:connection id="PAProjects">
          <x15:rangePr sourceName="_xlcn.WorksheetConnection_MasterMYC2021.xlsxPAProjects1"/>
        </x15:connection>
      </ext>
    </extLst>
  </connection>
</connections>
</file>

<file path=xl/sharedStrings.xml><?xml version="1.0" encoding="utf-8"?>
<sst xmlns="http://schemas.openxmlformats.org/spreadsheetml/2006/main" count="10216" uniqueCount="1929">
  <si>
    <t>003</t>
  </si>
  <si>
    <t xml:space="preserve">Project Code and Name </t>
  </si>
  <si>
    <t>Funding Source</t>
  </si>
  <si>
    <t>Start Date 
dd/mm/yyyy</t>
  </si>
  <si>
    <t>End Date 
dd/mm/yyyy</t>
  </si>
  <si>
    <t>Project Status</t>
  </si>
  <si>
    <t>Project Classification</t>
  </si>
  <si>
    <t>Spending since start of project</t>
  </si>
  <si>
    <t>Approved Budget FY 2020/21</t>
  </si>
  <si>
    <t>FY1 (FY22-23)</t>
  </si>
  <si>
    <t>FY2 (FY23-24)</t>
  </si>
  <si>
    <t>FY3 (FY24-25)</t>
  </si>
  <si>
    <t>FY4 (FY25-26)</t>
  </si>
  <si>
    <t>Outstanding Commitments</t>
  </si>
  <si>
    <t>(Calculated Value)</t>
  </si>
  <si>
    <t>Approved Project Costs by DC as indicated in the PIP</t>
  </si>
  <si>
    <t>PIM Process (Four Gates)</t>
  </si>
  <si>
    <t>Select for first call on resources? (Y/N)</t>
  </si>
  <si>
    <t xml:space="preserve">1673 Retooling of Office of the Prime Minister </t>
  </si>
  <si>
    <t>GoU Funded</t>
  </si>
  <si>
    <t>Under Implementation</t>
  </si>
  <si>
    <t>Retooling Project</t>
  </si>
  <si>
    <t>This is a new project which started July 2020.</t>
  </si>
  <si>
    <t>Y</t>
  </si>
  <si>
    <t>1486 Development Innitiative for Northern Uganda</t>
  </si>
  <si>
    <t>External Financing</t>
  </si>
  <si>
    <t>Social Project</t>
  </si>
  <si>
    <t xml:space="preserve">The project is expected to end June 2021. The the project is granted extention based on budget shortfall of UGX 33,381,000,000. The contract for construction of Gulu Logistic Hub, upgading of Atiak - Laropi road have been awarded. Mini-Grids have been promoted in 9 of 25 villages of Lamwo, construction of 8 valley tanks ongoing in Karamoja, construction/rehabilitation of over 407km of road ongoing in Abim, Amudat, Adjumani &amp; Moyo districts. </t>
  </si>
  <si>
    <t>N</t>
  </si>
  <si>
    <t>1499 Development Response for Displacement IMPACTS Project (DRDIP)</t>
  </si>
  <si>
    <t>The total project cost is USD 200 million. The cost in UGX was determined at exchange rate of USD = UGX 3700. The project is granted extention based on budget shortfall of UGX 158,367,000,000. Social service Infrastructure have been constructed under the project (classrooms 460, Teacher houses 28 blocks, 237 blocks of 5 latrine stances, Health facilities 43 and community roads 279.8kms) as well as supported 83,545 households with traditional &amp; nontraditional livelihoods in the refugee hosting communities.</t>
  </si>
  <si>
    <t>Vote</t>
  </si>
  <si>
    <t>004</t>
  </si>
  <si>
    <t>005</t>
  </si>
  <si>
    <t>1143 Isimba HPP</t>
  </si>
  <si>
    <t>Under Defects Liability Period</t>
  </si>
  <si>
    <t>Infrastructure Project</t>
  </si>
  <si>
    <t>Project to Exit in 2022</t>
  </si>
  <si>
    <t>1183 Karuma Hydoelectricity Power Project</t>
  </si>
  <si>
    <t>1350 Muzizi Hydro Power Project</t>
  </si>
  <si>
    <t>Under Procurement</t>
  </si>
  <si>
    <t>1351 Nyagak III Hydro Power Project</t>
  </si>
  <si>
    <t>1221 Opuyo Moroto Interconnection Project</t>
  </si>
  <si>
    <t>1259 Kampala-Entebbe Expansion Project</t>
  </si>
  <si>
    <t>1388 Mbale-Bulambuli (Atari) 132KV transmission line and Associated Substation</t>
  </si>
  <si>
    <t>1391 Lira-Gulu-Agago 132KV transmission project</t>
  </si>
  <si>
    <t>1409 Mirama - Kabale 132kv Transmission Project</t>
  </si>
  <si>
    <t>1426 Grid Expansion and Reinforcement Project -Lira, Gulu, Nebbi to Arua Transmission Line</t>
  </si>
  <si>
    <t>1428 Energy for Rural Transformation (ERT) Phase III</t>
  </si>
  <si>
    <t xml:space="preserve">1429 ORIO Mini Hydro Power and Rural Electrification Project </t>
  </si>
  <si>
    <t>1492 Kampala Metropolitan Transmission System Improvement Project</t>
  </si>
  <si>
    <t>1497 Masaka-Mbarara Grid Expansion Line</t>
  </si>
  <si>
    <t>1654 Power Supply to industrial parks and Power  Transmission Line Extension</t>
  </si>
  <si>
    <t>1655 Kikagati Nsongezi Transmission Line</t>
  </si>
  <si>
    <t>1184 Construction of Oil Refinery</t>
  </si>
  <si>
    <t>1352 Midstream Petroleum Infrastructure Development Project</t>
  </si>
  <si>
    <t>1355 Strengthening the Development and Production Phases of Oil and Gas Sector</t>
  </si>
  <si>
    <t>1410 Skills for Oil and Gas Africa (SOGA)</t>
  </si>
  <si>
    <t>1610 Liquefied Petroleum Gas (LPG) Supply and Infrastructure Intervention</t>
  </si>
  <si>
    <t xml:space="preserve">Only Gou FUNDED </t>
  </si>
  <si>
    <t>1611 Petroleum Exploration and Promotion Frontier Basins</t>
  </si>
  <si>
    <t>1353 Mineral Wealth and Mining Infrastructure Development</t>
  </si>
  <si>
    <t>1542 Airborne Geophysical Survey and Geological Mapping of Karamoja</t>
  </si>
  <si>
    <t>project to Exit in 2025</t>
  </si>
  <si>
    <t>1594 Retooling of Ministry of Energy and Mineral Development (PhaseII)</t>
  </si>
  <si>
    <t>017 Ministry of Energy and Mineral Development</t>
  </si>
  <si>
    <t>017</t>
  </si>
  <si>
    <t>018</t>
  </si>
  <si>
    <t>019</t>
  </si>
  <si>
    <t>020</t>
  </si>
  <si>
    <t>021</t>
  </si>
  <si>
    <t>022</t>
  </si>
  <si>
    <t>023</t>
  </si>
  <si>
    <t>1344 Renovation and Equipping of Kayunga and Yumbe General Hospitals</t>
  </si>
  <si>
    <t>Closing date revised to 30th June 2022 as indicated in PS/STs letter of 17th October ,2020 on appeals against exit from the PIP at the end of FY 2020/21. Multiyear figures don’t appear because the project will be closing after next FY.</t>
  </si>
  <si>
    <t>Project closing with one year extension under GOU funding</t>
  </si>
  <si>
    <t>0220 Global Fund for AIDS, TB and Malaria</t>
  </si>
  <si>
    <t>Arrears are arising from the GOU not fulfilling the funding due to the covid pandemic reallocations. GOU projections given here are estimates based on previous GOU commitments. Grant closure process on going</t>
  </si>
  <si>
    <t>Global Fund operate in calendar years, the grants come in every 3 years, the current grant ends this FY 20/21, A new grant with new terms and agreements will commence next FY 21/22 up to FY24/25 and the commitments havent been confirmed. Spent figures are estimates up to the end of 2020.Figures are in USD and estimated fx rate is @3700</t>
  </si>
  <si>
    <t>1436 GAVI Vaccines and Health Sector Development Plan Support</t>
  </si>
  <si>
    <t xml:space="preserve">Assumed that GoU - will fund costs of Covid-19 vaccine and deployment in FY 2021/22, FY22/23, FY23/24 and FY 24/25, Assumed that GoU will not have any arrears and cash commitments by end of Current FY. Current grant ends next FY and grants follow calendar years. </t>
  </si>
  <si>
    <t>Assumed an annual increment of budget by 5%, Assummed that Uganda will have received HSS3 Grant in 2023. Projections are made basing on approved proposed funding commitment figures but not yet signed, slight variations are expected but within estimated ranges since information about new grant commitments hasnt comein yet.Figures are in USD and estimated fx rate is @3700</t>
  </si>
  <si>
    <t>1440 Uganda Reproductive Maternal and Child Health Services Improvement Project</t>
  </si>
  <si>
    <t>The project is expected to end next FY  and GOU commitment figure isnt expected to change</t>
  </si>
  <si>
    <t>Figures are denoted in usd and a rate of @3700 is used. A projection is made beyond the project period by one year to cater for unfinished work and transitioning.</t>
  </si>
  <si>
    <t>1539 Italian Support to Health Sector Development Plan- Karamoja Infrastructure Development Project Phase II</t>
  </si>
  <si>
    <t>The figures are based on commitments by GOU to the project awaiting signatures but agreements were already approved</t>
  </si>
  <si>
    <t>The figures are denoted in euro @4500 rate. The agreements were agreed upon but not signed due to the challenges that came with covid 19, the period is extended to 2024 on the signing of agreements and donor commitment.</t>
  </si>
  <si>
    <t>1243 Rehabilitation and Construction of General Hospitals</t>
  </si>
  <si>
    <t>Muliyear estimates are because there is extension of implementation period by 2years to 2023</t>
  </si>
  <si>
    <t>classification of implemetation period has changed due to 2yr extension period</t>
  </si>
  <si>
    <t>1566 Retooling of Ministry of Health</t>
  </si>
  <si>
    <t>Extension period for the project given up to 2024 due to initial delays for project commencement</t>
  </si>
  <si>
    <t>1519 Strengthening Capacity of Regional Referral Hospitals-DRIVE</t>
  </si>
  <si>
    <t>Regional referral hospitals to give individual figures for their allocations. The figures used here are only those for MOH. The project is being consolidated to one master project to fit in NDPIII program planning implementation period</t>
  </si>
  <si>
    <t>Donor funding figures not confirmed for multiyear</t>
  </si>
  <si>
    <t>New project grant</t>
  </si>
  <si>
    <t>014</t>
  </si>
  <si>
    <t>015</t>
  </si>
  <si>
    <t>016</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</si>
  <si>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</si>
  <si>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</si>
  <si>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</si>
  <si>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</si>
  <si>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</si>
  <si>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</si>
  <si>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</si>
  <si>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</si>
  <si>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</si>
  <si>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</si>
  <si>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</si>
  <si>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</si>
  <si>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</si>
  <si>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</si>
  <si>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</si>
  <si>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</si>
  <si>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</si>
  <si>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</si>
  <si>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</si>
  <si>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</si>
  <si>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</si>
  <si>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</si>
  <si>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</si>
  <si>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</si>
  <si>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</si>
  <si>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</si>
  <si>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</si>
  <si>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</si>
  <si>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</si>
  <si>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</si>
  <si>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</si>
  <si>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</si>
  <si>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</si>
  <si>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</si>
  <si>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</si>
  <si>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</si>
  <si>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</si>
  <si>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</si>
  <si>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</si>
  <si>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</si>
  <si>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</si>
  <si>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</si>
  <si>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</si>
  <si>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</si>
  <si>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</si>
  <si>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</si>
  <si>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</si>
  <si>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</si>
  <si>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</si>
  <si>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</si>
  <si>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</si>
  <si>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</si>
  <si>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</si>
  <si>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</si>
  <si>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</si>
  <si>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</si>
  <si>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</si>
  <si>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</si>
  <si>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</si>
  <si>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</si>
  <si>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</si>
  <si>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</si>
  <si>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</si>
  <si>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</si>
  <si>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</si>
  <si>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</si>
  <si>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</si>
  <si>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</si>
  <si>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</si>
  <si>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</si>
  <si>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</si>
  <si>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</si>
  <si>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</si>
  <si>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</si>
  <si>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</si>
  <si>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</si>
  <si>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</si>
  <si>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</si>
  <si>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</si>
  <si>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</si>
  <si>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</si>
  <si>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</si>
  <si>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</si>
  <si>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</si>
  <si>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</si>
  <si>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</si>
  <si>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</si>
  <si>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</si>
  <si>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</si>
  <si>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</si>
  <si>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</si>
  <si>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</si>
  <si>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</si>
  <si>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</si>
  <si>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</si>
  <si>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</si>
  <si>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</si>
  <si>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</si>
  <si>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</si>
  <si>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</si>
  <si>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</si>
  <si>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</si>
  <si>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</si>
  <si>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</si>
  <si>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</si>
  <si>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</si>
  <si>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</si>
  <si>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</si>
  <si>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</si>
  <si>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</si>
  <si>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</si>
  <si>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</si>
  <si>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</si>
  <si>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</si>
  <si>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</si>
  <si>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</si>
  <si>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</si>
  <si>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</si>
  <si>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</si>
  <si>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</si>
  <si>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</si>
  <si>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</si>
  <si>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</si>
  <si>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</si>
  <si>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</si>
  <si>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</si>
  <si>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</si>
  <si>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</si>
  <si>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</si>
  <si>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</si>
  <si>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</si>
  <si>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</si>
  <si>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</si>
  <si>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</si>
  <si>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</si>
  <si>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</si>
  <si>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</si>
  <si>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</si>
  <si>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</si>
  <si>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</si>
  <si>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</si>
  <si>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</si>
  <si>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</si>
  <si>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</si>
  <si>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</si>
  <si>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</si>
  <si>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</si>
  <si>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</si>
  <si>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</si>
  <si>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</si>
  <si>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</si>
  <si>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</si>
  <si>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</si>
  <si>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</si>
  <si>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</si>
  <si>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</si>
  <si>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</si>
  <si>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</si>
  <si>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</si>
  <si>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</si>
  <si>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</si>
  <si>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</si>
  <si>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</si>
  <si>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</si>
  <si>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</si>
  <si>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</si>
  <si>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</si>
  <si>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</si>
  <si>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</si>
  <si>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</si>
  <si>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</si>
  <si>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</si>
  <si>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</si>
  <si>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</si>
  <si>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</si>
  <si>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</si>
  <si>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</si>
  <si>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</si>
  <si>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</si>
  <si>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</si>
  <si>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</si>
  <si>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</si>
  <si>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</si>
  <si>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</si>
  <si>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</si>
  <si>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</si>
  <si>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</si>
  <si>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</si>
  <si>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</si>
  <si>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</si>
  <si>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</si>
  <si>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</si>
  <si>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</si>
  <si>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</si>
  <si>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</si>
  <si>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</si>
  <si>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</si>
  <si>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</si>
  <si>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</si>
  <si>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</si>
  <si>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</si>
  <si>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</si>
  <si>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</si>
  <si>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</si>
  <si>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</si>
  <si>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</si>
  <si>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</si>
  <si>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</si>
  <si>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</si>
  <si>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</si>
  <si>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</si>
  <si>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</si>
  <si>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</si>
  <si>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</si>
  <si>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</si>
  <si>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</si>
  <si>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</si>
  <si>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</si>
  <si>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</si>
  <si>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</si>
  <si>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</si>
  <si>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</si>
  <si>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</si>
  <si>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</si>
  <si>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</si>
  <si>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</si>
  <si>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</si>
  <si>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</si>
  <si>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</si>
  <si>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</si>
  <si>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</si>
  <si>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1004</t>
  </si>
  <si>
    <t>014 Ministry of Health</t>
  </si>
  <si>
    <t>Source.Name</t>
  </si>
  <si>
    <t>Estimate of Arrears at end of the current FY 2020/21 (value)</t>
  </si>
  <si>
    <t>Counterpart Funding signed agreements only (value next FY)</t>
  </si>
  <si>
    <t>Cash Required for Commitments (value next FY)</t>
  </si>
  <si>
    <t>Arrears + All Contractual Commitments (value next FY)</t>
  </si>
  <si>
    <t>Comments from MDA (Important information or assumptions when populating the template)</t>
  </si>
  <si>
    <t>FINAL MULTI YEAR  Template MEMD_ Revised.xlsx</t>
  </si>
  <si>
    <t>MoH MYC Template Uganda Workshop v25.1.21.xlsx</t>
  </si>
  <si>
    <t>MoICT MYC Template MFPED.xlsx</t>
  </si>
  <si>
    <t>1600 Retooling of Ministry of ICT &amp; National Guidance</t>
  </si>
  <si>
    <t>MoJCA MYC Template Uganda  Workshop v22.1.21 DC template (2) (1).xlsx</t>
  </si>
  <si>
    <t>0890 Support to Justice Law and Order Sector</t>
  </si>
  <si>
    <t>1242 Construction of the JLOS House</t>
  </si>
  <si>
    <t>1647 Retooling of Ministry of Justice and Constitutional Affairs</t>
  </si>
  <si>
    <t>MoLHUD -012 MYC Template Uganda Workshop v25.1.21 (1).xlsx</t>
  </si>
  <si>
    <t>1514 Uganda Support to Municipal Infrastructure Development (USMID II)</t>
  </si>
  <si>
    <t>The total project value includes grants to Municipal Councils and refugee host districts</t>
  </si>
  <si>
    <t>1528 Hoima Oil Refinery Proximity Development Master Plan</t>
  </si>
  <si>
    <t xml:space="preserve">GoU counter financing only </t>
  </si>
  <si>
    <t>1632 Retooling of Ministry of Lands, Housing and Urban Development</t>
  </si>
  <si>
    <t>1310 Albertine Region Sustainable Development Project</t>
  </si>
  <si>
    <t>The total Value includes Land Component only</t>
  </si>
  <si>
    <t>1289 Competitiveness and Enterprise Development Project [CEDP]</t>
  </si>
  <si>
    <t>The Total project value includes both CEDP I and II</t>
  </si>
  <si>
    <t xml:space="preserve">Govt counter financing </t>
  </si>
  <si>
    <t>Project was approved,awaiting for external financing</t>
  </si>
  <si>
    <t>MoSTI MULTI YEAR COMMITMENTS.xlsx</t>
  </si>
  <si>
    <t>1511 Kiira Motors Corporation</t>
  </si>
  <si>
    <t>(i) Construction of the Kiira Vehicle Plant which undertaken by the UPDF through National Enterprise Corporation and Supervised by Technology Consults, stood at 68% as of 31st December 2020. However, the capitalization of the Kiira Vehicle Plant is lagging behind schedule with outstanding Interim Payment Certificates yet to be cleared due to budget shortfalls. It is also imperative to note that while the construction works and technology transfer are progressing, the Production System (Plant Machinery, Equipment &amp; Tools and Associated Processes) are yet to be funded. To provide space for contract manufacturing of picks along with capabilities for Bus and Truck Chassis Manufacturing, there is need to provide funding to support these key capabilities at the Kiira Vehicle Plant in Jinja.
(ii) The Automotive Industrial &amp; Technology Park is one of the Strategic program projects in the Third National Development Plan (NDPIII) 2020/21 – 2024/25 in line with the overall theme of Sustainable Industrialization for inclusive growth, employment and sustainable wealth creation. Government has allocated funds to Kira Motors Corporation to purchase two (2) square miles for setting up the Automotive Industrial &amp; Technology Park to support a wide range of investments in motor vehicle parts manufacturing, vehicle testing and automotive technology innovation enterprises</t>
  </si>
  <si>
    <t>1597 Retooling of Ministry of Science, Technology and Innovation</t>
  </si>
  <si>
    <t>MINISTRY</t>
  </si>
  <si>
    <t>SERICULTURE</t>
  </si>
  <si>
    <t>1513 National Science, Technology, Engineering and Innovation Skills Enhancement Project</t>
  </si>
  <si>
    <t>MoTWA MYC Template Uganda Workshop v25.1.21.xlsx</t>
  </si>
  <si>
    <t xml:space="preserve">1609 Retooling of Ministry of Tourism, Wildlife and Antiquitties </t>
  </si>
  <si>
    <t>1699 Developpment of Museuams and Heritage Sites for Cultural Tourism (Phase II)</t>
  </si>
  <si>
    <t>1700 Mt. Rwenzori Tourism Infrastructure Development Project Phase II</t>
  </si>
  <si>
    <t>1701 Development of Source of the Nile Project (Phase II)</t>
  </si>
  <si>
    <t>MUST MYC Template Uganda Workshop v22.1.21-1 (2) (2).xlsx</t>
  </si>
  <si>
    <t>0368 Development</t>
  </si>
  <si>
    <t>i. The main assumption is that the project resources will flow appropriately. ii. The cummulative project expenditure is less than the total project cost mainly due inadequate funding and non release of some of the approved development funding by GoU. iii. The Current commitments are at Contract award level for continuation of of works for on-going projects including Faculty of Computing &amp; Informatics, Main Gate and Access road at Kihumuro campus</t>
  </si>
  <si>
    <t>1650 Retooling of Mbarara University of Science and Technology</t>
  </si>
  <si>
    <t xml:space="preserve">i. Assumption is that appropriated resources will be released 100% to avoid project stalling and delays. ii. The trend of GoU funds release has been declining thus affecting ject execution. </t>
  </si>
  <si>
    <t>MYC - MTIC Edited.xlsx</t>
  </si>
  <si>
    <t>1495 Rural Industrial Development Project (OVOP Project Phase III)</t>
  </si>
  <si>
    <t>The project has only received 2% of the approved project Cost. Based on this the vote notes that there is a need for extention and be provided with UGX. 132,532,415,622 which is the balance based on the total project cost of UGX. 167,311,900,000.</t>
  </si>
  <si>
    <t>1689 Retooling of Ministry of Trade and Industry</t>
  </si>
  <si>
    <t>The funds given per year are low given the Total project Cost</t>
  </si>
  <si>
    <t>MYC - UEPB Edited.xlsx</t>
  </si>
  <si>
    <t>1688 Retooling of Uganda Export Promotion Board</t>
  </si>
  <si>
    <t>MYC Template Uganda Workshop for UNRA Rev03.xlsx</t>
  </si>
  <si>
    <t>0265 Upgrade Atiak - Moyo-Afoji (104km)</t>
  </si>
  <si>
    <t>0267 Improvement of Ferry Services</t>
  </si>
  <si>
    <t>0952 Design Masaka-Bukakata road</t>
  </si>
  <si>
    <t>1040 Design Kapchorwa-Suam road (77km)</t>
  </si>
  <si>
    <t>1041 Design Kyenjojo-Hoima-Masindi-Kigumba (238km)</t>
  </si>
  <si>
    <t>1176 Hoima-Wanseko Road (83Km)</t>
  </si>
  <si>
    <t>1274 Musita-Lumino-Busia/Majanji Road</t>
  </si>
  <si>
    <t>The project scope has been expanded to include the Tororo - Busia Section</t>
  </si>
  <si>
    <t>1275 Olwiyo-Gulu-Kitgum Road</t>
  </si>
  <si>
    <t>1276 Mubende-Kakumiro-Kagadi Road</t>
  </si>
  <si>
    <t>1277 Kampala Northern Bypass Phase 2</t>
  </si>
  <si>
    <t>1279 Seeta-Kyaliwajjala-Matugga-Wakiso-Buloba-Nsangi</t>
  </si>
  <si>
    <t>1280 Najjanankumbi-Busabala Road and Nambole-Namilyango-Seeta</t>
  </si>
  <si>
    <t>1281 Tirinyi-Pallisa-Kumi/Kamonkoli Road</t>
  </si>
  <si>
    <t>1311 Upgrading Rukungiri-Kihihi-Ishasha/Kanungu Road</t>
  </si>
  <si>
    <t>1312 Upgrading Mbale-Bubulo-Lwakhakha Road</t>
  </si>
  <si>
    <t>1313 North Eastern Road-Corridor Asset Management Project</t>
  </si>
  <si>
    <t>1319 Kampala Flyover</t>
  </si>
  <si>
    <t>1320  Construction of 66 Selected Bridges</t>
  </si>
  <si>
    <t>1322 Upgrading of Muyembe-Nakapiripirit (92 km)</t>
  </si>
  <si>
    <t>1402 Rwenkunye- Apac- Lira-Acholibur road</t>
  </si>
  <si>
    <t>1403 Soroti-Katakwi-Moroto-Lokitonyala road</t>
  </si>
  <si>
    <t>1404 Kibuye- Busega- Mpigi</t>
  </si>
  <si>
    <t>1490 Luwero- Butalangu</t>
  </si>
  <si>
    <t>1506 Land Acquisition</t>
  </si>
  <si>
    <t>1536 Upgrading of Kitala-Gerenge Road</t>
  </si>
  <si>
    <t>1537 Upgrading of Kaya-Yei Road</t>
  </si>
  <si>
    <t>1543 Kihihi-Butogota-Bohoma Road</t>
  </si>
  <si>
    <t>1544 Kisoro-Lake Bunyonyi Road</t>
  </si>
  <si>
    <t>1545 Kisoro-Mgahinga National Park Headquarters Road</t>
  </si>
  <si>
    <t>1546 Kisoro-Nkuringo-Rubugiri-Muko Road</t>
  </si>
  <si>
    <t>1550 Namunsi-Sironko/Muyembe-Kapchorwa Section I</t>
  </si>
  <si>
    <t>1552 Hoima-Katunguru Road</t>
  </si>
  <si>
    <t>1554 Nakalama-Tirinyi-Mbale Road</t>
  </si>
  <si>
    <t>1656 Construction of Muko - Katuna Road (66.6 km)</t>
  </si>
  <si>
    <t>1657 Moyo-Yumbe-Koboko road</t>
  </si>
  <si>
    <t>1692 Rehabilitation of Masaka Town Roads (7.3 KM)</t>
  </si>
  <si>
    <t>1693 Rehabilitation of Kampala-Jinja Highway(72 KM)</t>
  </si>
  <si>
    <t>1694 Rehabilitation  of Mityana-Mubende Road(100KM)</t>
  </si>
  <si>
    <t>1695 Rehabilitation of Packwach-Nebbi Section 2 Road(33KM)</t>
  </si>
  <si>
    <t>MYC Template Uganda Workshop MOWT 28.01.2021.xlsx</t>
  </si>
  <si>
    <t>1284 Development of new Kampala Port in Bukasa</t>
  </si>
  <si>
    <t>1373 Entebbe Airport Rehabilitation Phase 1</t>
  </si>
  <si>
    <t>An exchange rate of 1 USD = 3750 UGX</t>
  </si>
  <si>
    <t>1489 Development of Kabaale Airport</t>
  </si>
  <si>
    <t>Varience is attributed to project extension and incidental designs that had not been included in the project</t>
  </si>
  <si>
    <t>An exchange rate of 1 Euro = 4,500 UGX</t>
  </si>
  <si>
    <t>1456 Multinational Lake Victoria Maritime Comm. &amp;Transport Project</t>
  </si>
  <si>
    <t>An exchange rate of 1 USD = 3700 UGX</t>
  </si>
  <si>
    <t>1097 New Standard Gauge Railway Line</t>
  </si>
  <si>
    <t>Phase II of the project to be developed for construction of the SGR</t>
  </si>
  <si>
    <t>1096 Support to Computerised Driving Permits</t>
  </si>
  <si>
    <t>1430 Bus Rapid Transit for Greater Kampala Metropolitan Area</t>
  </si>
  <si>
    <t>1512 Uganda National Airline Project</t>
  </si>
  <si>
    <t>An exchange rate of 1 USD = 3900 UGX</t>
  </si>
  <si>
    <t>1421 Development of the Construction Industry</t>
  </si>
  <si>
    <t>1558 Rural Bridges Infrastructure Development</t>
  </si>
  <si>
    <t xml:space="preserve">1563 URC Capacity Building Project </t>
  </si>
  <si>
    <t>1564 Community Roads Improvement Project</t>
  </si>
  <si>
    <t>1617 Retooling of Ministry of Works and Transport</t>
  </si>
  <si>
    <t>1659 Rehabilitation of the Tororo – Gulu railway line</t>
  </si>
  <si>
    <t>1703 Rehabilitation of District Roads Project</t>
  </si>
  <si>
    <t>Annual estimates obtained from the feasibility study reports for the project</t>
  </si>
  <si>
    <t>1705 Rehabilitaion and Upgrading of Urban Roads Project</t>
  </si>
  <si>
    <t>MYC Template Uganda Workshop UNBS.xlsx</t>
  </si>
  <si>
    <t>1675 Retooling of Uganda National Bureau of Standards</t>
  </si>
  <si>
    <t>Under implementation</t>
  </si>
  <si>
    <t>Support to UNBS before was being spent on Construction, furniture, ICT, motor vehicles and specialised equipment. However, by the time of the project exiting from PIP, the institution had arrears for construct of laboratories at headquarters.  The institution was guided to capture the arrears under the retooling component which was given a new code. Having done done those adjustments, the MTEF remained at 11,652,915,228 UGX</t>
  </si>
  <si>
    <t>MYC Template UTB (3).xlsx</t>
  </si>
  <si>
    <t>1676 Retooling of Uganda Tourism Board</t>
  </si>
  <si>
    <t>The stated arrears of UGX 0.060 are to go towards the completion of the purchase of transport equipment that was ongoing before the cuts against those lines were made/communicated by MoFPED for FY 2019/20.</t>
  </si>
  <si>
    <t>MYCS Template for Vote 013 MOES 1_02_2021 bbb.xlsx</t>
  </si>
  <si>
    <t>1241 Development of Uganda Petroleum Institute Kigumba</t>
  </si>
  <si>
    <t>The institute has an on-going contract worth Ushs.14.38bn for construction of a male hostel, a female hostel, a classroom block, a health center and library signed in FY 2018/19. The project has faced a funding shortfall during implementation of Ushs.3.41bn in FY 2019/20 and Ushs. 0.65bn in Q1 FY 2020/2</t>
  </si>
  <si>
    <t>1308 Development and Improvement of Special Needs Education (SNE)</t>
  </si>
  <si>
    <t>Exchange used is 3750</t>
  </si>
  <si>
    <t>1338 Skills Development Project</t>
  </si>
  <si>
    <t>1540 Development of Secondary Education Phase II</t>
  </si>
  <si>
    <t>The Project complement other existing interventions by focusing on construction of new schools in sub-counties without any form of Secondary School, Rehabilitate and expand existing secondary schools, provide and maintain solar packages in secondary schools</t>
  </si>
  <si>
    <t xml:space="preserve">1339 Emergency Construction of Primary Schools Phase II  </t>
  </si>
  <si>
    <t>1435 Retooling and Capacity Development for Ministry of Education and Sports</t>
  </si>
  <si>
    <t>Retooling</t>
  </si>
  <si>
    <t>1433 IDB funded Technical and Vocational Education and Training Phase III</t>
  </si>
  <si>
    <t>1432 OFID Funded Vocational Project Phase II</t>
  </si>
  <si>
    <t>1412 The Technical Vocational Education and Training (TVET-LEAD)</t>
  </si>
  <si>
    <t>The effects of COVID-19 pandemic and low releases in the two quarters,  stagnated project activities. This  affected implementation and completion of the project activities. Whereas Japan International Development Agency (JICA)  achieved her part, the Institute  experienced challenges in completion of desired infrastructure due inadequate financial releases in FY 2019/20.</t>
  </si>
  <si>
    <t>1491 African Centers of Excellence II</t>
  </si>
  <si>
    <t>1665 Uganda Secondary Education Expansion Project</t>
  </si>
  <si>
    <t>OPM MYC populated Template Uganda Workshop 29.1.21.xlsx</t>
  </si>
  <si>
    <t>REA MYC 2021 MoFPED LN.xlsx</t>
  </si>
  <si>
    <t>1262 Rural Electrification Project</t>
  </si>
  <si>
    <t>Project cost indicated as the loan amount converted to UGX</t>
  </si>
  <si>
    <t>1517 Bridging the demand gap through the accelerated rural electrification Programme (TBEA)</t>
  </si>
  <si>
    <t>1518 Uganda Rural Electrification Access Project (UREAP)</t>
  </si>
  <si>
    <t>Soroti University MYC (1).xlsx</t>
  </si>
  <si>
    <t>1680 Retooling of Soroti University</t>
  </si>
  <si>
    <t>Funds are needed for  Equipping of Medical Laboratories, Engineering Laboratories,Installation of assorted  network equipment and servers (ICT) for Odel, Procurement of Furniture and fittings, Procurement of Vehicles   (Ambulance and bus), Procurement of sports and games kits and Heavy duty printers.</t>
  </si>
  <si>
    <t>1419 Support to Soroti University Infrastructure Development</t>
  </si>
  <si>
    <t>Funds are needed for the Construction of a  Centre of excellence for Tropical Medicine (Anatomy block) and a Centre of excellence for renewable energy (SET), Construction of a Library , completion of the dining facility, Architectural drawings, plans and designs for the Library, SET, University master plan, opening of University roads, installation of solar security lights and construction of University sports complex.</t>
  </si>
  <si>
    <t>The Multi-Year Commitments 2021 for MoLG.xlsx</t>
  </si>
  <si>
    <t>1360 Markets and Agricultural Trade Improvements Programme (MATIP 2)</t>
  </si>
  <si>
    <t>1381 Restoration of Livelihoods in Northern Region (PRELNOR)</t>
  </si>
  <si>
    <t>1509 Local Economic Growth (LEGS) Support Project</t>
  </si>
  <si>
    <t>1652 Retooling of Ministry of Local Government</t>
  </si>
  <si>
    <t>1704 Development of Local Government's Revenue Collection and Management Information System</t>
  </si>
  <si>
    <t>The project is new and it has just received a code effective FY 2021/22 to FY 2025/26</t>
  </si>
  <si>
    <t>Vote 009 Multi year commitment template-Updated 05022021.xlsx</t>
  </si>
  <si>
    <t>1641 Retooling of Ministry of Internal Affairs</t>
  </si>
  <si>
    <t>This retooling project is to incorporate proposed interventions for peace building and war rehabilitation in the coming years as per guidance from the PS/ST (Ref: PAP/54/141/01). This will lead to an increase in the project cost.</t>
  </si>
  <si>
    <t xml:space="preserve">Project Cost </t>
  </si>
  <si>
    <t>FY 2021/22</t>
  </si>
  <si>
    <t>FY 2022/23</t>
  </si>
  <si>
    <t>FY 2023/24</t>
  </si>
  <si>
    <t xml:space="preserve">START DATE </t>
  </si>
  <si>
    <t>END DATE</t>
  </si>
  <si>
    <t>G.O.U</t>
  </si>
  <si>
    <t>Donor</t>
  </si>
  <si>
    <t>Total</t>
  </si>
  <si>
    <t>GOU 21/22</t>
  </si>
  <si>
    <t>DONOR 21/22</t>
  </si>
  <si>
    <t>Total 21/22</t>
  </si>
  <si>
    <t>GOU 22/23</t>
  </si>
  <si>
    <t>DONOR 22/23</t>
  </si>
  <si>
    <t>Total 22/23</t>
  </si>
  <si>
    <t>GOU 23/24</t>
  </si>
  <si>
    <t>DONOR 23/24</t>
  </si>
  <si>
    <t>Total 23/24</t>
  </si>
  <si>
    <t>01</t>
  </si>
  <si>
    <t>02</t>
  </si>
  <si>
    <t>03</t>
  </si>
  <si>
    <t>Agriculture Cluster Development Project</t>
  </si>
  <si>
    <t>04</t>
  </si>
  <si>
    <t>05</t>
  </si>
  <si>
    <t>Nothern Uganda Farmers Livelihood Improvement Project</t>
  </si>
  <si>
    <t>06</t>
  </si>
  <si>
    <t>07</t>
  </si>
  <si>
    <t>08</t>
  </si>
  <si>
    <t>Livestock Diseases Control Project Phase 2</t>
  </si>
  <si>
    <t>09</t>
  </si>
  <si>
    <t>Meat Export Support Services</t>
  </si>
  <si>
    <t>10</t>
  </si>
  <si>
    <t>11</t>
  </si>
  <si>
    <t>Regional Pastoral Livelihood Improvement Project</t>
  </si>
  <si>
    <t>12</t>
  </si>
  <si>
    <t>Support to Sustainable Fisheries Development Project</t>
  </si>
  <si>
    <t>13</t>
  </si>
  <si>
    <t>Agriculture Value Chain Development</t>
  </si>
  <si>
    <t>14</t>
  </si>
  <si>
    <t>Multisectoral Food Safety &amp; Nutrition Project</t>
  </si>
  <si>
    <t>15</t>
  </si>
  <si>
    <t>16</t>
  </si>
  <si>
    <t>17</t>
  </si>
  <si>
    <t>Enhancing National Food Security through increased Rice production in Eastern Uganda</t>
  </si>
  <si>
    <t>18</t>
  </si>
  <si>
    <t>19</t>
  </si>
  <si>
    <t>Crop pests and diseases control phase 2</t>
  </si>
  <si>
    <t>20</t>
  </si>
  <si>
    <t>The COMESA Seed Harmonization Implementation Plan (COMSHIP) Project</t>
  </si>
  <si>
    <t>21</t>
  </si>
  <si>
    <t>Developing A Market-Oriented And Environmentally Sustainable Beef Meat Industry In Uganda</t>
  </si>
  <si>
    <t>22</t>
  </si>
  <si>
    <t>23</t>
  </si>
  <si>
    <t>24</t>
  </si>
  <si>
    <t>Retooling of Ministry Agriculture, Animal Industry and Fisheries</t>
  </si>
  <si>
    <t>25</t>
  </si>
  <si>
    <t>26</t>
  </si>
  <si>
    <t>China-Uganda South-South Cooperation Project Phase III</t>
  </si>
  <si>
    <t>27</t>
  </si>
  <si>
    <t>Retooling of Uganda Coffee Development Authority</t>
  </si>
  <si>
    <t>Competitiveness and Enterprise Development Project [CEDP]</t>
  </si>
  <si>
    <t>Albertine Region Sustainable Development Project</t>
  </si>
  <si>
    <t>Uganda Support to Municipal Infrastructure Development (USMID II)</t>
  </si>
  <si>
    <t>Hoima Oil Refinery Proximity Development Master Plan</t>
  </si>
  <si>
    <t>Retooling of Ministry of Lands, Housing and Urban Development</t>
  </si>
  <si>
    <t>Retooling of Uganda Land Commission</t>
  </si>
  <si>
    <t>Strengthening the Development and Production Phases of Oil and Gas Sector</t>
  </si>
  <si>
    <t>Isimba HPP</t>
  </si>
  <si>
    <t>Opuyo Moroto Interconnection Project</t>
  </si>
  <si>
    <t>Rural Electrification Project</t>
  </si>
  <si>
    <t>Muzizi Hydro Power Project</t>
  </si>
  <si>
    <t>Construction of Oil Refinery</t>
  </si>
  <si>
    <t>Energy for Rural Transformation (ERT) Phase III</t>
  </si>
  <si>
    <t>Airborne Geophysical Survey and Geological Mapping of Karamoja</t>
  </si>
  <si>
    <t>Lira-Gulu-Agago 132KV transmission project</t>
  </si>
  <si>
    <t>Mirama - Kabale 132kv Transmission Project</t>
  </si>
  <si>
    <t>Grid Expansion and Reinforcement Project -Lira, Gulu, Nebbi to Arua Transmission Line</t>
  </si>
  <si>
    <t>Kampala Metropolitan Transmission System Improvement Project</t>
  </si>
  <si>
    <t>Masaka-Mbarara Grid Expansion Line</t>
  </si>
  <si>
    <t>Karuma Hydoelectricity Power Project</t>
  </si>
  <si>
    <t>Nyagak III Hydro Power Project</t>
  </si>
  <si>
    <t>Bridging the demand gap through the accelerated rural electrification Programme (TBEA)</t>
  </si>
  <si>
    <t>28</t>
  </si>
  <si>
    <t>Uganda Rural Electrification Access Project (UREAP)</t>
  </si>
  <si>
    <t>29</t>
  </si>
  <si>
    <t>30</t>
  </si>
  <si>
    <t>31</t>
  </si>
  <si>
    <t>Retooling of Petroleum Authority of Uganda</t>
  </si>
  <si>
    <t>32</t>
  </si>
  <si>
    <t>Liquefied Petroleum Gas (LPG) Supply and Infrastructure Intervention</t>
  </si>
  <si>
    <t>33</t>
  </si>
  <si>
    <t>34</t>
  </si>
  <si>
    <t>National Petroleum Data Repository Infrastructure</t>
  </si>
  <si>
    <t>35</t>
  </si>
  <si>
    <t>Power Supply to industrial parks and Power  Transmission Line Extension</t>
  </si>
  <si>
    <t>36</t>
  </si>
  <si>
    <t>Kikagati Nsongezi Transmission Line</t>
  </si>
  <si>
    <t>0952</t>
  </si>
  <si>
    <t>0265</t>
  </si>
  <si>
    <t>Upgrade Atiak - Moyo-Afoji (104km)</t>
  </si>
  <si>
    <t>Design Kyenjojo-Hoima-Masindi-Kigumba (238km)</t>
  </si>
  <si>
    <t>Musita-Lumino-Busia/Majanji Road</t>
  </si>
  <si>
    <t>Kampala Flyover</t>
  </si>
  <si>
    <t>1320</t>
  </si>
  <si>
    <t>Development of the Construction Industry</t>
  </si>
  <si>
    <t>37</t>
  </si>
  <si>
    <t>38</t>
  </si>
  <si>
    <t>Development of Kabaale Airport</t>
  </si>
  <si>
    <t>39</t>
  </si>
  <si>
    <t>40</t>
  </si>
  <si>
    <t>41</t>
  </si>
  <si>
    <t>42</t>
  </si>
  <si>
    <t>43</t>
  </si>
  <si>
    <t>0267</t>
  </si>
  <si>
    <t>44</t>
  </si>
  <si>
    <t>1536</t>
  </si>
  <si>
    <t>45</t>
  </si>
  <si>
    <t>1558</t>
  </si>
  <si>
    <t>46</t>
  </si>
  <si>
    <t>1537</t>
  </si>
  <si>
    <t>47</t>
  </si>
  <si>
    <t>48</t>
  </si>
  <si>
    <t>1543</t>
  </si>
  <si>
    <t>Kihihi-Butogota-Bohoma Road</t>
  </si>
  <si>
    <t>49</t>
  </si>
  <si>
    <t>1544</t>
  </si>
  <si>
    <t>Kisoro-Lake Bunyonyi Road</t>
  </si>
  <si>
    <t>50</t>
  </si>
  <si>
    <t>1545</t>
  </si>
  <si>
    <t>Kisoro-Mgahinga National Park Headquarters Road</t>
  </si>
  <si>
    <t>51</t>
  </si>
  <si>
    <t>1546</t>
  </si>
  <si>
    <t>Kisoro-Nkuringo-Rubugiri-Muko Road</t>
  </si>
  <si>
    <t>52</t>
  </si>
  <si>
    <t>53</t>
  </si>
  <si>
    <t>54</t>
  </si>
  <si>
    <t>1550</t>
  </si>
  <si>
    <t>Namunsi-Sironko/Muyembe-Kapchorwa Section I</t>
  </si>
  <si>
    <t>56</t>
  </si>
  <si>
    <t>57</t>
  </si>
  <si>
    <t>1552</t>
  </si>
  <si>
    <t>Hoima-Katunguru Road</t>
  </si>
  <si>
    <t>58</t>
  </si>
  <si>
    <t>59</t>
  </si>
  <si>
    <t>1554</t>
  </si>
  <si>
    <t>Nakalama-Tirinyi-Mbale Road</t>
  </si>
  <si>
    <t>60</t>
  </si>
  <si>
    <t>61</t>
  </si>
  <si>
    <t xml:space="preserve">URC Capacity Building Project </t>
  </si>
  <si>
    <t>62</t>
  </si>
  <si>
    <t>Community Roads Improvement Project</t>
  </si>
  <si>
    <t>63</t>
  </si>
  <si>
    <t>Retooling of Uganda National Roads Authority</t>
  </si>
  <si>
    <t>64</t>
  </si>
  <si>
    <t>Retooling of Ministry of Works and Transport</t>
  </si>
  <si>
    <t>65</t>
  </si>
  <si>
    <t>66</t>
  </si>
  <si>
    <t>Construction of Muko - Katuna Road (66.6 km)</t>
  </si>
  <si>
    <t>67</t>
  </si>
  <si>
    <t>Moyo-Yumbe-Koboko road</t>
  </si>
  <si>
    <t>68</t>
  </si>
  <si>
    <t>Kampala City Roads Rehabilitation Project</t>
  </si>
  <si>
    <t>69</t>
  </si>
  <si>
    <t>Rehabilitation of the Tororo – Gulu railway line</t>
  </si>
  <si>
    <t>70</t>
  </si>
  <si>
    <t>Retooling of Uganda Road Fund</t>
  </si>
  <si>
    <t>Retooling of Ministry of ICT &amp; National Guidance</t>
  </si>
  <si>
    <t xml:space="preserve">Government Network (GOVNET) Project </t>
  </si>
  <si>
    <t>Retooling of National Information &amp; Technology Authority</t>
  </si>
  <si>
    <t>1495</t>
  </si>
  <si>
    <t>Rural Industrial Development Project (OVOP Project Phase III)</t>
  </si>
  <si>
    <t>Retooling of Uganda National Bureau of Standards</t>
  </si>
  <si>
    <t>Retooling of Uganda Export Promotion Board</t>
  </si>
  <si>
    <t>Retooling of Ministry of Trade and Industry</t>
  </si>
  <si>
    <t>0368</t>
  </si>
  <si>
    <t>1241</t>
  </si>
  <si>
    <t>Development of Uganda Petroleum Institute Kigumba</t>
  </si>
  <si>
    <t>1308</t>
  </si>
  <si>
    <t>1338</t>
  </si>
  <si>
    <t>Skills Development Project</t>
  </si>
  <si>
    <t>1356</t>
  </si>
  <si>
    <t>Uganda National Examination Board (UNEB) Infrastructure Development Project</t>
  </si>
  <si>
    <t>1412</t>
  </si>
  <si>
    <t>1414</t>
  </si>
  <si>
    <t>1415</t>
  </si>
  <si>
    <t>Support to NCDC Infrastructure Development</t>
  </si>
  <si>
    <t>1419</t>
  </si>
  <si>
    <t>Support to Soroti University Infrastructure Development</t>
  </si>
  <si>
    <t>1432</t>
  </si>
  <si>
    <t>1491</t>
  </si>
  <si>
    <t>Retooling of Ministry of Education and Sports</t>
  </si>
  <si>
    <t>Retooling of Education service Commission</t>
  </si>
  <si>
    <t>Retooling of Makerere University</t>
  </si>
  <si>
    <t>Retooling of Kyambogo University</t>
  </si>
  <si>
    <t>Retooling of Kabale University</t>
  </si>
  <si>
    <t>Retooling of Busitema University</t>
  </si>
  <si>
    <t>Retooling of Makerere University Business School</t>
  </si>
  <si>
    <t>Retooling of Gulu University</t>
  </si>
  <si>
    <t>Retooling of Uganda National Examinations Board</t>
  </si>
  <si>
    <t>Retooling of Mbarara University of Science and Technology</t>
  </si>
  <si>
    <t>Uganda Secondary Education Expansion Project</t>
  </si>
  <si>
    <t>Retooling of Soroti University</t>
  </si>
  <si>
    <t>Retooling of National Curriculum Development Centre</t>
  </si>
  <si>
    <t>Retooling of Muni University</t>
  </si>
  <si>
    <t>0220</t>
  </si>
  <si>
    <t>Global Fund for AIDS, TB and Malaria</t>
  </si>
  <si>
    <t>1243</t>
  </si>
  <si>
    <t>Rehabilitation and Construction of General Hospitals</t>
  </si>
  <si>
    <t>1344</t>
  </si>
  <si>
    <t>Renovation and Equipping of Kayunga and Yumbe General Hospitals</t>
  </si>
  <si>
    <t>1120</t>
  </si>
  <si>
    <t>Uganda Cancer Institute Project</t>
  </si>
  <si>
    <t>1345</t>
  </si>
  <si>
    <t>ADB Support to UCI</t>
  </si>
  <si>
    <t>1436</t>
  </si>
  <si>
    <t>GAVI Vaccines and Health Sector Development Plan Support</t>
  </si>
  <si>
    <t>1440</t>
  </si>
  <si>
    <t>1519</t>
  </si>
  <si>
    <t>1442</t>
  </si>
  <si>
    <t>1526</t>
  </si>
  <si>
    <t>Uganda Heart Institute Infrastructure Development Project</t>
  </si>
  <si>
    <t>1527</t>
  </si>
  <si>
    <t>Establishment of an Oncology Centre in Northern Uganda</t>
  </si>
  <si>
    <t>Arua Rehabilitation Referral Hospital</t>
  </si>
  <si>
    <t>Fort Portal Rehabilitation Referral Hospital</t>
  </si>
  <si>
    <t>Gulu Rehabilitation Referral Hospital</t>
  </si>
  <si>
    <t>Jinja Rehabilitation Referral Hospital</t>
  </si>
  <si>
    <t>Kabale Regional Hospital Rehabilitaion</t>
  </si>
  <si>
    <t>Masaka Rehabilitation Referral Hospital</t>
  </si>
  <si>
    <t>Mbale Rehabilitation Referral Hospital</t>
  </si>
  <si>
    <t>Lira Rehabilitation Referral Hospital</t>
  </si>
  <si>
    <t>Mbarara Rehabilitation Referral Hospital</t>
  </si>
  <si>
    <t>Mubende Rehabilitation Referal Hospital</t>
  </si>
  <si>
    <t>Moroto Rehabilitation Referal Hospital</t>
  </si>
  <si>
    <t>Naguru Rehabilitation Referal Hospital</t>
  </si>
  <si>
    <t>Retooling of Ministry of Health</t>
  </si>
  <si>
    <t>Retooling of National Medical Stores</t>
  </si>
  <si>
    <t>Retooling of Uganda Heart Institute</t>
  </si>
  <si>
    <t>Retooling of Uganda Virus Research Institute</t>
  </si>
  <si>
    <t>Retooling of Uganda Cancer Institute</t>
  </si>
  <si>
    <t>Retooling of National Trauma Centre, Naguru</t>
  </si>
  <si>
    <t>Retooling of Butabika National Referral Hospital</t>
  </si>
  <si>
    <t>Retooling of Mulago Specialised Women and Neonatal Hospital</t>
  </si>
  <si>
    <t>Retooling of to Kiruddu National Referral Hospital</t>
  </si>
  <si>
    <t>Retooling of Kawempe National Referral Hospital</t>
  </si>
  <si>
    <t>Retooling of Fort Portal Regional Referral Hospital</t>
  </si>
  <si>
    <t>Retooling of Mbarara Regional Referral Hospital</t>
  </si>
  <si>
    <t>Retooling of Mubende Regional Referral Hospital</t>
  </si>
  <si>
    <t>Retooling of Mbale Regional Referral Hospital</t>
  </si>
  <si>
    <t>Retooling of Kabale Regional Referral Hospital</t>
  </si>
  <si>
    <t>Retooling of Lira Regional Hospital</t>
  </si>
  <si>
    <t>Retooling of Hoima Regional Referral Hospital</t>
  </si>
  <si>
    <t>Retooling of Gulu Regional Referral Hospital</t>
  </si>
  <si>
    <t>Retooling of Masaka Regional Referral Hospital</t>
  </si>
  <si>
    <t>Retooling of Soroti Regional Referral Hospital</t>
  </si>
  <si>
    <t>Retooling of Entebbe Regional Referral Hospital</t>
  </si>
  <si>
    <t>Retooling of Health Service Commission</t>
  </si>
  <si>
    <t>Retooling of Jinja Regional Referral Hospital</t>
  </si>
  <si>
    <t>Retooling of Mulago National Referral Hospital</t>
  </si>
  <si>
    <t>Retooling of Uganda Blood Transfusion services</t>
  </si>
  <si>
    <t>1188</t>
  </si>
  <si>
    <t>Protection of Lake Victoria-Kampala Sanitation Program</t>
  </si>
  <si>
    <t>1193</t>
  </si>
  <si>
    <t>1302</t>
  </si>
  <si>
    <t>Support for Hydro-Power Devt and Operations on River Nile</t>
  </si>
  <si>
    <t>1438</t>
  </si>
  <si>
    <t>Water Services Acceleration Project (SCAP)</t>
  </si>
  <si>
    <t>1347</t>
  </si>
  <si>
    <t>Solar Powered Mini-Piped Water Schemes in rural Areas</t>
  </si>
  <si>
    <t>1396</t>
  </si>
  <si>
    <t>Water for Production Regional Center-North (WfPRC-N) based in Lira</t>
  </si>
  <si>
    <t>1397</t>
  </si>
  <si>
    <t>Water for Production Regional Center-East (WfPRC_E) based in Mbale</t>
  </si>
  <si>
    <t>1398</t>
  </si>
  <si>
    <t>Water for Production Regional Centre-West (WfPRC-W) based in Mbarara</t>
  </si>
  <si>
    <t>1399</t>
  </si>
  <si>
    <t>Karamoja Small Town and Rural growth Centers Water Supply and Sanitation Project</t>
  </si>
  <si>
    <t>1417</t>
  </si>
  <si>
    <t>Farm Income Enhancement and Forestry Conservation Project Phase II (FIEFOC II)</t>
  </si>
  <si>
    <t>1424</t>
  </si>
  <si>
    <t>Multi-Lateral Lakes Edward &amp; Albert Integrated Fisheries and Water Resources Management (LEAFII)</t>
  </si>
  <si>
    <t>1487</t>
  </si>
  <si>
    <t>1520</t>
  </si>
  <si>
    <t>Building Resilient Communities, Wetland Ecosystems and Associated Catchments in Uganda</t>
  </si>
  <si>
    <t>1522</t>
  </si>
  <si>
    <t>1523</t>
  </si>
  <si>
    <t>Water for Production Phase II</t>
  </si>
  <si>
    <t>1524</t>
  </si>
  <si>
    <t>Water and Sanitation Development Facility - East-Phase II</t>
  </si>
  <si>
    <t>1525</t>
  </si>
  <si>
    <t>Water and Sanitation Development Facility - South Western-Phase II</t>
  </si>
  <si>
    <t>1529</t>
  </si>
  <si>
    <t>Strategic Towns Water Supply and Sanitation Project (STWSSP)</t>
  </si>
  <si>
    <t>1530</t>
  </si>
  <si>
    <t>Integrated Water Resources Management and Development Project (IWMDP)</t>
  </si>
  <si>
    <t>1531</t>
  </si>
  <si>
    <t>South Western Cluster (SWC) Project</t>
  </si>
  <si>
    <t>1532</t>
  </si>
  <si>
    <t>1533</t>
  </si>
  <si>
    <t>Water and Sanitation Development Facility Central - Phase II</t>
  </si>
  <si>
    <t>1534</t>
  </si>
  <si>
    <t>Water and Sanitation Development Facility North - Phase II</t>
  </si>
  <si>
    <t>Lake Victoria Water and Sanitation (LVWATSAN) Phase 3</t>
  </si>
  <si>
    <t>Investing in Forests and Protected Areas for Climate-Smart Development</t>
  </si>
  <si>
    <t>Support To Rural Water Supply and Sanitation Project</t>
  </si>
  <si>
    <t>Retooling of Ministry of Water and Environment</t>
  </si>
  <si>
    <t>Retooling of National Environment Management Authority</t>
  </si>
  <si>
    <t>Strengthening Water Utilities Regulation Project</t>
  </si>
  <si>
    <t>Irrigation For Climate Resilience Project Profile</t>
  </si>
  <si>
    <t>Water Management Zones Project Phase 2</t>
  </si>
  <si>
    <t>Development of Solar Powered Irrigation and Water Supply Systems</t>
  </si>
  <si>
    <t>Retooling of Uganda National Meteorological Authority</t>
  </si>
  <si>
    <t>1488</t>
  </si>
  <si>
    <t>Chemical Safety &amp;Security (CHESASE) Project</t>
  </si>
  <si>
    <t>1515</t>
  </si>
  <si>
    <t>Retooling of Ministry of Gender, Labour and Social Development and its Institutions.</t>
  </si>
  <si>
    <t>Retooling of  Equal Opportunities Commission</t>
  </si>
  <si>
    <t>1</t>
  </si>
  <si>
    <t>0023</t>
  </si>
  <si>
    <t>Defence Equipment Project</t>
  </si>
  <si>
    <t>2</t>
  </si>
  <si>
    <t>1178</t>
  </si>
  <si>
    <t>3</t>
  </si>
  <si>
    <t>Retooling of Ministry of Defense and Veteran Affairs</t>
  </si>
  <si>
    <t>4</t>
  </si>
  <si>
    <t>Retooling of External Security Organization</t>
  </si>
  <si>
    <t>1346</t>
  </si>
  <si>
    <t>Enhancing Prosecution Services for all (EPSFA)</t>
  </si>
  <si>
    <t>0385</t>
  </si>
  <si>
    <t>Assistance to Uganda Police</t>
  </si>
  <si>
    <t>0890</t>
  </si>
  <si>
    <t>Support to Justice Law and Order Sector</t>
  </si>
  <si>
    <t>1242</t>
  </si>
  <si>
    <t>1395</t>
  </si>
  <si>
    <t>1443</t>
  </si>
  <si>
    <t xml:space="preserve">Revitalisation of Prison Industries  </t>
  </si>
  <si>
    <t>1556</t>
  </si>
  <si>
    <t>Retooling of the Law Development Centre</t>
  </si>
  <si>
    <t>Retooling of Ministry of Internal Affairs</t>
  </si>
  <si>
    <t xml:space="preserve">Retooling of Uganda Prisons Service </t>
  </si>
  <si>
    <t>Retooling of the Judiciary</t>
  </si>
  <si>
    <t>Retooling of Office of the Director of Public Prosecutions</t>
  </si>
  <si>
    <t xml:space="preserve">Retooling of Judicial Service Commission </t>
  </si>
  <si>
    <t>Retooling of Ministry of Justice and Constitutional Affairs</t>
  </si>
  <si>
    <t xml:space="preserve">Retooling of Uganda Registration Services Bureau </t>
  </si>
  <si>
    <t xml:space="preserve">Retooling the National Identification and Registration Authority </t>
  </si>
  <si>
    <t xml:space="preserve">Retooling the Uganda Law Reform Commission </t>
  </si>
  <si>
    <t xml:space="preserve">Retooling the Uganda Police Force </t>
  </si>
  <si>
    <t>Retooling the Uganda Human Rights Commission</t>
  </si>
  <si>
    <t>Retooling the National Citizenship and Immigration Control</t>
  </si>
  <si>
    <t>1486</t>
  </si>
  <si>
    <t>1499</t>
  </si>
  <si>
    <t>Retooling of National Planning Authority</t>
  </si>
  <si>
    <t xml:space="preserve">Retooling of Office of the Prime Minister </t>
  </si>
  <si>
    <t>Retooling of Public Service Commission</t>
  </si>
  <si>
    <t>Retooling of Ministry of East African Affairs</t>
  </si>
  <si>
    <t>Retooling of Kampala Capital City Authority</t>
  </si>
  <si>
    <t>0994</t>
  </si>
  <si>
    <t>Development of Industrial Parks</t>
  </si>
  <si>
    <t>1208</t>
  </si>
  <si>
    <t>1288</t>
  </si>
  <si>
    <t>1289</t>
  </si>
  <si>
    <t>1496</t>
  </si>
  <si>
    <t>1521</t>
  </si>
  <si>
    <t>Retooling of Public Procurement and Disposal of Public Assets Authority</t>
  </si>
  <si>
    <t>Retooling of Uganda Revenue Authority</t>
  </si>
  <si>
    <t>Retooling of Financial Intelligence Authority</t>
  </si>
  <si>
    <t>Retooling of Uganda Investment Authority</t>
  </si>
  <si>
    <t>Retooling of Ministry of Finance, Planning and Economic Development</t>
  </si>
  <si>
    <t xml:space="preserve">Retooling of Uganda Bureau of Statistics </t>
  </si>
  <si>
    <t>Retooling of Inspectorate of Government</t>
  </si>
  <si>
    <t>0355</t>
  </si>
  <si>
    <t>Rehabilitation of Parliament</t>
  </si>
  <si>
    <t>Retooling of Office of the President</t>
  </si>
  <si>
    <t>Retooling of State House</t>
  </si>
  <si>
    <t>Retooling of Ministry of Foreign Affairs</t>
  </si>
  <si>
    <t>Retooling of Internal Security Organization</t>
  </si>
  <si>
    <t>Retooling of Uganda AIDS Commission</t>
  </si>
  <si>
    <t>Retooling of Uganda Industrial Research Institute</t>
  </si>
  <si>
    <t xml:space="preserve">Retooling of Ministry of Tourism, Wildlife and Antiquitties </t>
  </si>
  <si>
    <t>Retooling of Uganda Tourism Board</t>
  </si>
  <si>
    <t>1360</t>
  </si>
  <si>
    <t>1381</t>
  </si>
  <si>
    <t>Restoration of Livelihoods in Northern Region (PRELNOR)</t>
  </si>
  <si>
    <t>Retooling of Local Government Finance Commission</t>
  </si>
  <si>
    <t>Retooling of Ministry of Local Government</t>
  </si>
  <si>
    <t>FY 2024/25</t>
  </si>
  <si>
    <t>Sn</t>
  </si>
  <si>
    <t>Sector Code</t>
  </si>
  <si>
    <t>Sector Name</t>
  </si>
  <si>
    <t>Vote Code</t>
  </si>
  <si>
    <t>Project Code</t>
  </si>
  <si>
    <t>Project Name</t>
  </si>
  <si>
    <t>Program</t>
  </si>
  <si>
    <t>GOU 24/25</t>
  </si>
  <si>
    <t>DONOR 24/25</t>
  </si>
  <si>
    <t>Total 24/25</t>
  </si>
  <si>
    <t>Agriculture</t>
  </si>
  <si>
    <t>010</t>
  </si>
  <si>
    <t>1263</t>
  </si>
  <si>
    <t>1316</t>
  </si>
  <si>
    <t>1323</t>
  </si>
  <si>
    <t>The Project on Irrigation Scheme Development in Central and Eastern Uganda (PISD)-JICA Supported Project</t>
  </si>
  <si>
    <t>1324</t>
  </si>
  <si>
    <t>5</t>
  </si>
  <si>
    <t>1330</t>
  </si>
  <si>
    <t>6</t>
  </si>
  <si>
    <t>1357</t>
  </si>
  <si>
    <t>Improving Access and Use of Agricultural Equipment and Mechanisation through the use of labour Saving Technologies</t>
  </si>
  <si>
    <t>7</t>
  </si>
  <si>
    <t>1358</t>
  </si>
  <si>
    <t>8</t>
  </si>
  <si>
    <t>1363</t>
  </si>
  <si>
    <t>9</t>
  </si>
  <si>
    <t>1365</t>
  </si>
  <si>
    <t>1386</t>
  </si>
  <si>
    <t>1411</t>
  </si>
  <si>
    <t>1425</t>
  </si>
  <si>
    <t>1444</t>
  </si>
  <si>
    <t>1493</t>
  </si>
  <si>
    <t>1508</t>
  </si>
  <si>
    <t>National Oil Palm Project</t>
  </si>
  <si>
    <t>Building Resilient Communities, Wetland Ecosystem and Associated Catchments in Uganda</t>
  </si>
  <si>
    <t>1663</t>
  </si>
  <si>
    <t>1696</t>
  </si>
  <si>
    <t xml:space="preserve">Development of Sustainable Cashew  Nut Value Chain in Uganda </t>
  </si>
  <si>
    <t>1698</t>
  </si>
  <si>
    <t>Establishment of Value addition and Agro processing plants in Uganda</t>
  </si>
  <si>
    <t>1325</t>
  </si>
  <si>
    <t xml:space="preserve"> NAGRC Strategic Intervention for Animal Genetics Improvement Project</t>
  </si>
  <si>
    <t>1560</t>
  </si>
  <si>
    <t>Relocation and Operationalisation of the National Livestock Resources Research Institute (NALIRRI)</t>
  </si>
  <si>
    <t>1708</t>
  </si>
  <si>
    <t>Rice Development Project Phase II</t>
  </si>
  <si>
    <t>Trade and Industry</t>
  </si>
  <si>
    <t>Agro – Industrialization</t>
  </si>
  <si>
    <t>Justice, Law and Order</t>
  </si>
  <si>
    <t>The maize seed and cotton production project under Uganda Prisons Service</t>
  </si>
  <si>
    <t>Local Government</t>
  </si>
  <si>
    <t>011</t>
  </si>
  <si>
    <t>Markets and Agricultural Trade Improvements Programme (MATIP 2)</t>
  </si>
  <si>
    <t>Public Sector Management</t>
  </si>
  <si>
    <t>Development Innitiative for Northern Uganda</t>
  </si>
  <si>
    <t>Community Mobilization and Mindset Change</t>
  </si>
  <si>
    <t>Development Response for Displacement IMPACTS Project (DRDIP)</t>
  </si>
  <si>
    <t>1509</t>
  </si>
  <si>
    <t>Local Economic Growth (LEGS) Support Project</t>
  </si>
  <si>
    <t>Accountability</t>
  </si>
  <si>
    <t>008</t>
  </si>
  <si>
    <t>Resource Enhancement and Accountability Programme (REAP) Key Result Area 1A &amp; 2A</t>
  </si>
  <si>
    <t xml:space="preserve">Development Plan Implementation </t>
  </si>
  <si>
    <t>Works and Transport</t>
  </si>
  <si>
    <t>1096</t>
  </si>
  <si>
    <t>Support to Computerised Driving Permits</t>
  </si>
  <si>
    <t>Digital Transformation</t>
  </si>
  <si>
    <t>ICT and National Guidance</t>
  </si>
  <si>
    <t>1400</t>
  </si>
  <si>
    <t>Regional Communication Infrastructure</t>
  </si>
  <si>
    <t>1615</t>
  </si>
  <si>
    <t>Security</t>
  </si>
  <si>
    <t>Governance and Security Strengthening</t>
  </si>
  <si>
    <t>UPDF Peace Keeping Mission in Somalia (AMISOM)</t>
  </si>
  <si>
    <t>1702</t>
  </si>
  <si>
    <t>Construction of National Military Museum Project</t>
  </si>
  <si>
    <t>007</t>
  </si>
  <si>
    <t>Construction of the JLOS House</t>
  </si>
  <si>
    <t>Construction of the Supreme Court and Court of Appeal Building</t>
  </si>
  <si>
    <t>Education</t>
  </si>
  <si>
    <t>013</t>
  </si>
  <si>
    <t>Human Capital Development</t>
  </si>
  <si>
    <t>Development and Improvement of Special Needs Education (SNE)</t>
  </si>
  <si>
    <t>1310</t>
  </si>
  <si>
    <t>1339</t>
  </si>
  <si>
    <t xml:space="preserve">Emergency Construction of Primary Schools Phase II  </t>
  </si>
  <si>
    <t>The Technical Vocational Education and Training (TVET-LEAD)</t>
  </si>
  <si>
    <t>OFID Funded Vocational Project Phase II</t>
  </si>
  <si>
    <t>African Centers of Excellence II</t>
  </si>
  <si>
    <t>1540</t>
  </si>
  <si>
    <t>Development of Secondary Education Phase II</t>
  </si>
  <si>
    <t>1665</t>
  </si>
  <si>
    <t>Development</t>
  </si>
  <si>
    <t>Support to Lira University Infrastructure Development</t>
  </si>
  <si>
    <t>Health</t>
  </si>
  <si>
    <t>Uganda Reproductive Maternal and Child Health Services Improvement Project</t>
  </si>
  <si>
    <t>1539</t>
  </si>
  <si>
    <t>Italian Support to Health Sector Development Plan- Karamoja Infrastructure Development Project Phase II</t>
  </si>
  <si>
    <t>71</t>
  </si>
  <si>
    <t>72</t>
  </si>
  <si>
    <t>73</t>
  </si>
  <si>
    <t>74</t>
  </si>
  <si>
    <t>75</t>
  </si>
  <si>
    <t>76</t>
  </si>
  <si>
    <t>77</t>
  </si>
  <si>
    <t>78</t>
  </si>
  <si>
    <t>79</t>
  </si>
  <si>
    <t>UVRI Infrastructual Development Project</t>
  </si>
  <si>
    <t>80</t>
  </si>
  <si>
    <t>Social Development</t>
  </si>
  <si>
    <t>81</t>
  </si>
  <si>
    <t>Strengthening Social Risk Management and Gender – Based Violence Prevention and Response Project</t>
  </si>
  <si>
    <t>82</t>
  </si>
  <si>
    <t>1557</t>
  </si>
  <si>
    <t>Youth Livelihood Project Phase II</t>
  </si>
  <si>
    <t>83</t>
  </si>
  <si>
    <t>Science, Technology and Innovation</t>
  </si>
  <si>
    <t>1511</t>
  </si>
  <si>
    <t>Kiira Motors Corporation</t>
  </si>
  <si>
    <t>Innovation, Technology Development &amp; Transfer</t>
  </si>
  <si>
    <t>84</t>
  </si>
  <si>
    <t>1513</t>
  </si>
  <si>
    <t>National Science, Technology, Engineering and Innovation Skills Enhancement Project</t>
  </si>
  <si>
    <t>85</t>
  </si>
  <si>
    <t>1284</t>
  </si>
  <si>
    <t>Development of new Kampala Port in Bukasa</t>
  </si>
  <si>
    <t>Integrated Transport Infrastructure and Services</t>
  </si>
  <si>
    <t>86</t>
  </si>
  <si>
    <t>1373</t>
  </si>
  <si>
    <t>Entebbe Airport Rehabilitation Phase 1</t>
  </si>
  <si>
    <t>87</t>
  </si>
  <si>
    <t>1421</t>
  </si>
  <si>
    <t>88</t>
  </si>
  <si>
    <t>1489</t>
  </si>
  <si>
    <t>89</t>
  </si>
  <si>
    <t>1512</t>
  </si>
  <si>
    <t>Uganda National Airline Project</t>
  </si>
  <si>
    <t>90</t>
  </si>
  <si>
    <t>Rural Bridges Infrastructure Development</t>
  </si>
  <si>
    <t>91</t>
  </si>
  <si>
    <t>1563</t>
  </si>
  <si>
    <t>92</t>
  </si>
  <si>
    <t>1564</t>
  </si>
  <si>
    <t>93</t>
  </si>
  <si>
    <t>1659</t>
  </si>
  <si>
    <t>94</t>
  </si>
  <si>
    <t>95</t>
  </si>
  <si>
    <t>Improvement of Ferry Services</t>
  </si>
  <si>
    <t>96</t>
  </si>
  <si>
    <t>Design Masaka-Bukakata road</t>
  </si>
  <si>
    <t>97</t>
  </si>
  <si>
    <t>1040</t>
  </si>
  <si>
    <t>Design Kapchorwa-Suam road (77km)</t>
  </si>
  <si>
    <t>98</t>
  </si>
  <si>
    <t>1041</t>
  </si>
  <si>
    <t>99</t>
  </si>
  <si>
    <t>1176</t>
  </si>
  <si>
    <t>Hoima-Wanseko Road (83Km)</t>
  </si>
  <si>
    <t>1274</t>
  </si>
  <si>
    <t>1275</t>
  </si>
  <si>
    <t>Olwiyo-Gulu-Kitgum Road</t>
  </si>
  <si>
    <t>1276</t>
  </si>
  <si>
    <t>Mubende-Kakumiro-Kagadi Road</t>
  </si>
  <si>
    <t>1277</t>
  </si>
  <si>
    <t>Kampala Northern Bypass Phase 2</t>
  </si>
  <si>
    <t>1279</t>
  </si>
  <si>
    <t>Seeta-Kyaliwajjala-Matugga-Wakiso-Buloba-Nsangi</t>
  </si>
  <si>
    <t>1280</t>
  </si>
  <si>
    <t>Najjanankumbi-Busabala Road and Nambole-Namilyango-Seeta</t>
  </si>
  <si>
    <t>1281</t>
  </si>
  <si>
    <t>Tirinyi-Pallisa-Kumi/Kamonkoli Road</t>
  </si>
  <si>
    <t>1311</t>
  </si>
  <si>
    <t>Upgrading Rukungiri-Kihihi-Ishasha/Kanungu Road</t>
  </si>
  <si>
    <t>1312</t>
  </si>
  <si>
    <t>Upgrading Mbale-Bubulo-Lwakhakha Road</t>
  </si>
  <si>
    <t>1313</t>
  </si>
  <si>
    <t>North Eastern Road-Corridor Asset Management Project</t>
  </si>
  <si>
    <t>1319</t>
  </si>
  <si>
    <t xml:space="preserve"> Construction of 66 Selected Bridges</t>
  </si>
  <si>
    <t>1322</t>
  </si>
  <si>
    <t>Upgrading of Muyembe-Nakapiripirit (92 km)</t>
  </si>
  <si>
    <t>1402</t>
  </si>
  <si>
    <t>Rwenkunye- Apac- Lira-Acholibur road</t>
  </si>
  <si>
    <t>1403</t>
  </si>
  <si>
    <t>Soroti-Katakwi-Moroto-Lokitonyala road</t>
  </si>
  <si>
    <t>1404</t>
  </si>
  <si>
    <t>Kibuye- Busega- Mpigi</t>
  </si>
  <si>
    <t>1490</t>
  </si>
  <si>
    <t>Luwero- Butalangu</t>
  </si>
  <si>
    <t>Upgrading of Kitala-Gerenge Road</t>
  </si>
  <si>
    <t>Upgrading of Kaya-Yei Road</t>
  </si>
  <si>
    <t>1656</t>
  </si>
  <si>
    <t>1657</t>
  </si>
  <si>
    <t>1692</t>
  </si>
  <si>
    <t>Rehabilitation of Masaka Town Roads (7.3 KM)</t>
  </si>
  <si>
    <t>1693</t>
  </si>
  <si>
    <t>Rehabilitation of Kampala-Jinja Highway(72 KM)</t>
  </si>
  <si>
    <t>1694</t>
  </si>
  <si>
    <t>Rehabilitation  of Mityana-Mubende Road(100KM)</t>
  </si>
  <si>
    <t>1695</t>
  </si>
  <si>
    <t>Rehabilitation of Packwach-Nebbi Section 2 Road(33KM)</t>
  </si>
  <si>
    <t>1658</t>
  </si>
  <si>
    <t>1703</t>
  </si>
  <si>
    <t>Rehabilitation of District Roads Project</t>
  </si>
  <si>
    <t>30/06/2026</t>
  </si>
  <si>
    <t>1705</t>
  </si>
  <si>
    <t>Rehabilitaion and Upgrading of Urban Roads Project</t>
  </si>
  <si>
    <t>Manufacturing</t>
  </si>
  <si>
    <t>Energy and Mineral Development</t>
  </si>
  <si>
    <t>1353</t>
  </si>
  <si>
    <t>Mineral Wealth and Mining Infrastructure Development</t>
  </si>
  <si>
    <t>1542</t>
  </si>
  <si>
    <t>Mineral Development</t>
  </si>
  <si>
    <t>1612</t>
  </si>
  <si>
    <t>Petroleum Development</t>
  </si>
  <si>
    <t>1184</t>
  </si>
  <si>
    <t>1352</t>
  </si>
  <si>
    <t>Midstream Petroleum Infrastructure Development Project</t>
  </si>
  <si>
    <t>1355</t>
  </si>
  <si>
    <t>1410</t>
  </si>
  <si>
    <t>Skills for Oil and Gas Africa (SOGA)</t>
  </si>
  <si>
    <t>1610</t>
  </si>
  <si>
    <t>1611</t>
  </si>
  <si>
    <t>Petroleum Exploration and Promotion Frontier Basins</t>
  </si>
  <si>
    <t>Lands, Housing and Urban Development</t>
  </si>
  <si>
    <t>012</t>
  </si>
  <si>
    <t>Private Sector Development</t>
  </si>
  <si>
    <t>Financial Inclusion in Rural Areas [PROFIRA] of Uganda</t>
  </si>
  <si>
    <t>1706</t>
  </si>
  <si>
    <t>Investment for Industrial Transformation and Employment Project</t>
  </si>
  <si>
    <t>1618</t>
  </si>
  <si>
    <t>1686</t>
  </si>
  <si>
    <t>Public Sector Transformation</t>
  </si>
  <si>
    <t>1683</t>
  </si>
  <si>
    <t>1632</t>
  </si>
  <si>
    <t>1633</t>
  </si>
  <si>
    <t>1594</t>
  </si>
  <si>
    <t>Retooling of Ministry of Energy and Mineral Development (PhaseII)</t>
  </si>
  <si>
    <t>1596</t>
  </si>
  <si>
    <t>1617</t>
  </si>
  <si>
    <t>1616</t>
  </si>
  <si>
    <t>1677</t>
  </si>
  <si>
    <t>1600</t>
  </si>
  <si>
    <t>1653</t>
  </si>
  <si>
    <t>1689</t>
  </si>
  <si>
    <t>1675</t>
  </si>
  <si>
    <t>1688</t>
  </si>
  <si>
    <t>1601</t>
  </si>
  <si>
    <t>1606</t>
  </si>
  <si>
    <t>1685</t>
  </si>
  <si>
    <t>1649</t>
  </si>
  <si>
    <t>1602</t>
  </si>
  <si>
    <t>1603</t>
  </si>
  <si>
    <t>1650</t>
  </si>
  <si>
    <t>1607</t>
  </si>
  <si>
    <t>1604</t>
  </si>
  <si>
    <t>1608</t>
  </si>
  <si>
    <t>1464</t>
  </si>
  <si>
    <t>Institutional Support to Lira University - Retooling</t>
  </si>
  <si>
    <t>1681</t>
  </si>
  <si>
    <t>1605</t>
  </si>
  <si>
    <t>1680</t>
  </si>
  <si>
    <t>1566</t>
  </si>
  <si>
    <t>1634</t>
  </si>
  <si>
    <t>1570</t>
  </si>
  <si>
    <t>1568</t>
  </si>
  <si>
    <t>1567</t>
  </si>
  <si>
    <t>1635</t>
  </si>
  <si>
    <t>1672</t>
  </si>
  <si>
    <t>1637</t>
  </si>
  <si>
    <t>1572</t>
  </si>
  <si>
    <t>1581</t>
  </si>
  <si>
    <t>Retooling of Arua Rehabilitation Referral Hospital</t>
  </si>
  <si>
    <t>1576</t>
  </si>
  <si>
    <t>1585</t>
  </si>
  <si>
    <t>1584</t>
  </si>
  <si>
    <t>1636</t>
  </si>
  <si>
    <t>1582</t>
  </si>
  <si>
    <t>1586</t>
  </si>
  <si>
    <t>1580</t>
  </si>
  <si>
    <t>1587</t>
  </si>
  <si>
    <t>1583</t>
  </si>
  <si>
    <t>1578</t>
  </si>
  <si>
    <t>1579</t>
  </si>
  <si>
    <t>1577</t>
  </si>
  <si>
    <t>Retooling of Moroto Rehabilitation Referral Hospital</t>
  </si>
  <si>
    <t>1571</t>
  </si>
  <si>
    <t>1574</t>
  </si>
  <si>
    <t>1575</t>
  </si>
  <si>
    <t>1588</t>
  </si>
  <si>
    <t>1573</t>
  </si>
  <si>
    <t>1569</t>
  </si>
  <si>
    <t>Water and Environment</t>
  </si>
  <si>
    <t>1638</t>
  </si>
  <si>
    <t>1639</t>
  </si>
  <si>
    <t>1678</t>
  </si>
  <si>
    <t>1627</t>
  </si>
  <si>
    <t>1628</t>
  </si>
  <si>
    <t>001</t>
  </si>
  <si>
    <t>1593</t>
  </si>
  <si>
    <t>1630</t>
  </si>
  <si>
    <t>1631</t>
  </si>
  <si>
    <t>1647</t>
  </si>
  <si>
    <t>009</t>
  </si>
  <si>
    <t>1641</t>
  </si>
  <si>
    <t>1644</t>
  </si>
  <si>
    <t>1668</t>
  </si>
  <si>
    <t>1670</t>
  </si>
  <si>
    <t>1640</t>
  </si>
  <si>
    <t>1648</t>
  </si>
  <si>
    <t>1671</t>
  </si>
  <si>
    <t>1645</t>
  </si>
  <si>
    <t>1669</t>
  </si>
  <si>
    <t>1643</t>
  </si>
  <si>
    <t>1646</t>
  </si>
  <si>
    <t>1642</t>
  </si>
  <si>
    <t>Retooling for Directorate of Government Analytical Laboratory</t>
  </si>
  <si>
    <t>1667</t>
  </si>
  <si>
    <t>1673</t>
  </si>
  <si>
    <t>1682</t>
  </si>
  <si>
    <t>Retooling of Public Service</t>
  </si>
  <si>
    <t>1691</t>
  </si>
  <si>
    <t>1629</t>
  </si>
  <si>
    <t>1674</t>
  </si>
  <si>
    <t>Support to National Authorising Officer</t>
  </si>
  <si>
    <t>1625</t>
  </si>
  <si>
    <t>Construction of the IGG Head Office building Project</t>
  </si>
  <si>
    <t>1684</t>
  </si>
  <si>
    <t>1623</t>
  </si>
  <si>
    <t>1690</t>
  </si>
  <si>
    <t>Retooling of  Office of the Auditor General</t>
  </si>
  <si>
    <t>1622</t>
  </si>
  <si>
    <t>1626</t>
  </si>
  <si>
    <t>1621</t>
  </si>
  <si>
    <t>1624</t>
  </si>
  <si>
    <t>Legislature</t>
  </si>
  <si>
    <t>Retooling of the Parliamentary Commission</t>
  </si>
  <si>
    <t>Public Administration</t>
  </si>
  <si>
    <t>1589</t>
  </si>
  <si>
    <t>002</t>
  </si>
  <si>
    <t>1590</t>
  </si>
  <si>
    <t>006</t>
  </si>
  <si>
    <t>1591</t>
  </si>
  <si>
    <t>1687</t>
  </si>
  <si>
    <t>Retooling of Electoral Commission</t>
  </si>
  <si>
    <t>1597</t>
  </si>
  <si>
    <t>Retooling of Ministry of Science, Technology and Innovation</t>
  </si>
  <si>
    <t>1598</t>
  </si>
  <si>
    <t>Tourism</t>
  </si>
  <si>
    <t>1609</t>
  </si>
  <si>
    <t>1676</t>
  </si>
  <si>
    <t>1652</t>
  </si>
  <si>
    <t>1651</t>
  </si>
  <si>
    <t>1704</t>
  </si>
  <si>
    <t>Development of Local Government's Revenue Collection and Management Information System</t>
  </si>
  <si>
    <t>1097</t>
  </si>
  <si>
    <t>New Standard Gauge Railway Line</t>
  </si>
  <si>
    <t>Regional Development</t>
  </si>
  <si>
    <t>1456</t>
  </si>
  <si>
    <t>Multinational Lake Victoria Maritime Comm. &amp;Transport Project</t>
  </si>
  <si>
    <t>1143</t>
  </si>
  <si>
    <t>1183</t>
  </si>
  <si>
    <t>1221</t>
  </si>
  <si>
    <t>1259</t>
  </si>
  <si>
    <t>Kampala-Entebbe Expansion Project</t>
  </si>
  <si>
    <t>1350</t>
  </si>
  <si>
    <t>1351</t>
  </si>
  <si>
    <t>1388</t>
  </si>
  <si>
    <t>Mbale-Bulambuli (Atari) 132KV transmission line and Associated Substation</t>
  </si>
  <si>
    <t>1391</t>
  </si>
  <si>
    <t>Sustainable Energy Development</t>
  </si>
  <si>
    <t>1409</t>
  </si>
  <si>
    <t>1426</t>
  </si>
  <si>
    <t>1428</t>
  </si>
  <si>
    <t>1429</t>
  </si>
  <si>
    <t xml:space="preserve">ORIO Mini Hydro Power and Rural Electrification Project </t>
  </si>
  <si>
    <t>1492</t>
  </si>
  <si>
    <t>1497</t>
  </si>
  <si>
    <t>1654</t>
  </si>
  <si>
    <t>1655</t>
  </si>
  <si>
    <t>1262</t>
  </si>
  <si>
    <t>1517</t>
  </si>
  <si>
    <t>1518</t>
  </si>
  <si>
    <t>1514</t>
  </si>
  <si>
    <t>1528</t>
  </si>
  <si>
    <t>1699</t>
  </si>
  <si>
    <t>Tourism Development</t>
  </si>
  <si>
    <t>1700</t>
  </si>
  <si>
    <t>Mt. Rwenzori Tourism Infrastructure Development Project Phase II</t>
  </si>
  <si>
    <t>1701</t>
  </si>
  <si>
    <t>Development of Source of the Nile Project (Phase II)</t>
  </si>
  <si>
    <t>Water, Climate Change and ENR Management</t>
  </si>
  <si>
    <t>Kampala Water Lake Victoria Water and Sanitation Project</t>
  </si>
  <si>
    <t>Enhancing Resilience of Communities to Climate Change</t>
  </si>
  <si>
    <t>Inner Murchison Bay Cleanup Project</t>
  </si>
  <si>
    <t>100% Service Coverage Acceleration Project - umbrellas (SCAP 100 - umbrellas)</t>
  </si>
  <si>
    <t>1559</t>
  </si>
  <si>
    <t>Drought Resilience in Karamoja sub-region project</t>
  </si>
  <si>
    <t>1562</t>
  </si>
  <si>
    <t>1613</t>
  </si>
  <si>
    <t>1614</t>
  </si>
  <si>
    <t>1660</t>
  </si>
  <si>
    <t>1661</t>
  </si>
  <si>
    <t>1662</t>
  </si>
  <si>
    <t>1666</t>
  </si>
  <si>
    <t>1697</t>
  </si>
  <si>
    <t>Natural Wetlands Restoration Project</t>
  </si>
  <si>
    <t>Vote2</t>
  </si>
  <si>
    <t>Vote Name2</t>
  </si>
  <si>
    <t>Strengthening Capacity of Regional Referral Hospitals-DRIVE</t>
  </si>
  <si>
    <t>Row Labels</t>
  </si>
  <si>
    <t>Vote Name &amp; Code</t>
  </si>
  <si>
    <t>Sector</t>
  </si>
  <si>
    <t>1428 Energy for Rural Transformation (ERT) Phase III -REA</t>
  </si>
  <si>
    <t>1310 Albertine Region Sustainable Development Project -113</t>
  </si>
  <si>
    <t>1310 Albertine Region Sustainable Development Project -012</t>
  </si>
  <si>
    <t>1310 Albertine Region Sustainable Development Project -013</t>
  </si>
  <si>
    <t>1520 Building Resilient Communities, Wetland Ecosystem and Associated Catchments in Uganda</t>
  </si>
  <si>
    <t>1708 Rice Development Project Phase II</t>
  </si>
  <si>
    <t>1004 Arua Rehabilitation Referral Hospital</t>
  </si>
  <si>
    <t>1004 Fort Portal Rehabilitation Referral Hospital</t>
  </si>
  <si>
    <t>1004 Gulu Rehabilitation Referral Hospital</t>
  </si>
  <si>
    <t>1004 Jinja Rehabilitation Referral Hospital</t>
  </si>
  <si>
    <t>1004 Kabale Regional Hospital Rehabilitaion</t>
  </si>
  <si>
    <t>1004 Masaka Rehabilitation Referral Hospital</t>
  </si>
  <si>
    <t>1004 Mbale Rehabilitation Referral Hospital</t>
  </si>
  <si>
    <t>1004 Lira Rehabilitation Referral Hospital</t>
  </si>
  <si>
    <t>1004 Mbarara Rehabilitation Referral Hospital</t>
  </si>
  <si>
    <t>1004 Mubende Rehabilitation Referal Hospital</t>
  </si>
  <si>
    <t>1004 Moroto Rehabilitation Referal Hospital</t>
  </si>
  <si>
    <t>1004 Naguru Rehabilitation Referal Hospital</t>
  </si>
  <si>
    <t>1708 Retooling of the Parliamentary Commission</t>
  </si>
  <si>
    <t>1520 Building Resilient Communities, Wetland Ecosystems and Associated Catchments in Uganda</t>
  </si>
  <si>
    <t>1263 Agriculture Cluster Development Project</t>
  </si>
  <si>
    <t>1316 Enhancing National Food Security through increased Rice production in Eastern Uganda</t>
  </si>
  <si>
    <t>1323 The Project on Irrigation Scheme Development in Central and Eastern Uganda (PISD)-JICA Supported Project</t>
  </si>
  <si>
    <t>1324 Nothern Uganda Farmers Livelihood Improvement Project</t>
  </si>
  <si>
    <t>1330 Livestock Diseases Control Project Phase 2</t>
  </si>
  <si>
    <t>1357 Improving Access and Use of Agricultural Equipment and Mechanisation through the use of labour Saving Technologies</t>
  </si>
  <si>
    <t>1358 Meat Export Support Services</t>
  </si>
  <si>
    <t>1363 Regional Pastoral Livelihood Improvement Project</t>
  </si>
  <si>
    <t>1365 Support to Sustainable Fisheries Development Project</t>
  </si>
  <si>
    <t>1386 Crop pests and diseases control phase 2</t>
  </si>
  <si>
    <t>1411 The COMESA Seed Harmonization Implementation Plan (COMSHIP) Project</t>
  </si>
  <si>
    <t>1425 Multisectoral Food Safety &amp; Nutrition Project</t>
  </si>
  <si>
    <t>1444 Agriculture Value Chain Development</t>
  </si>
  <si>
    <t>1493 Developing A Market-Oriented And Environmentally Sustainable Beef Meat Industry In Uganda</t>
  </si>
  <si>
    <t>1508 National Oil Palm Project</t>
  </si>
  <si>
    <t>1663 China-Uganda South-South Cooperation Project Phase III</t>
  </si>
  <si>
    <t xml:space="preserve">1696 Development of Sustainable Cashew  Nut Value Chain in Uganda </t>
  </si>
  <si>
    <t>1698 Establishment of Value addition and Agro processing plants in Uganda</t>
  </si>
  <si>
    <t>1325  NAGRC Strategic Intervention for Animal Genetics Improvement Project</t>
  </si>
  <si>
    <t>1560 Relocation and Operationalisation of the National Livestock Resources Research Institute (NALIRRI)</t>
  </si>
  <si>
    <t>1395 The maize seed and cotton production project under Uganda Prisons Service</t>
  </si>
  <si>
    <t>1521 Resource Enhancement and Accountability Programme (REAP) Key Result Area 1A &amp; 2A</t>
  </si>
  <si>
    <t>1400 Regional Communication Infrastructure</t>
  </si>
  <si>
    <t xml:space="preserve">1615 Government Network (GOVNET) Project </t>
  </si>
  <si>
    <t>0023 Defence Equipment Project</t>
  </si>
  <si>
    <t>1178 UPDF Peace Keeping Mission in Somalia (AMISOM)</t>
  </si>
  <si>
    <t>1702 Construction of National Military Museum Project</t>
  </si>
  <si>
    <t>1556 Construction of the Supreme Court and Court of Appeal Building</t>
  </si>
  <si>
    <t>1346 Enhancing Prosecution Services for all (EPSFA)</t>
  </si>
  <si>
    <t>0385 Assistance to Uganda Police</t>
  </si>
  <si>
    <t>1356 Uganda National Examination Board (UNEB) Infrastructure Development Project</t>
  </si>
  <si>
    <t>1414 Support to Lira University Infrastructure Development</t>
  </si>
  <si>
    <t>1415 Support to NCDC Infrastructure Development</t>
  </si>
  <si>
    <t>1120 Uganda Cancer Institute Project</t>
  </si>
  <si>
    <t>1345 ADB Support to UCI</t>
  </si>
  <si>
    <t>1527 Establishment of an Oncology Centre in Northern Uganda</t>
  </si>
  <si>
    <t>1526 Uganda Heart Institute Infrastructure Development Project</t>
  </si>
  <si>
    <t>1442 UVRI Infrastructual Development Project</t>
  </si>
  <si>
    <t>1488 Chemical Safety &amp;Security (CHESASE) Project</t>
  </si>
  <si>
    <t>1515 Strengthening Social Risk Management and Gender – Based Violence Prevention and Response Project</t>
  </si>
  <si>
    <t>1557 Youth Livelihood Project Phase II</t>
  </si>
  <si>
    <t>1658 Kampala City Roads Rehabilitation Project</t>
  </si>
  <si>
    <t xml:space="preserve">1443 Revitalisation of Prison Industries  </t>
  </si>
  <si>
    <t>0994 Development of Industrial Parks</t>
  </si>
  <si>
    <t>1612 National Petroleum Data Repository Infrastructure</t>
  </si>
  <si>
    <t>1288 Financial Inclusion in Rural Areas [PROFIRA] of Uganda</t>
  </si>
  <si>
    <t>1706 Investment for Industrial Transformation and Employment Project</t>
  </si>
  <si>
    <t>1618 Retooling of Ministry Agriculture, Animal Industry and Fisheries</t>
  </si>
  <si>
    <t>1683 Retooling of Uganda Coffee Development Authority</t>
  </si>
  <si>
    <t>1633 Retooling of Uganda Land Commission</t>
  </si>
  <si>
    <t>1596 Retooling of Petroleum Authority of Uganda</t>
  </si>
  <si>
    <t>1616 Retooling of Uganda National Roads Authority</t>
  </si>
  <si>
    <t>1677 Retooling of Uganda Road Fund</t>
  </si>
  <si>
    <t>1653 Retooling of National Information &amp; Technology Authority</t>
  </si>
  <si>
    <t>1601 Retooling of Ministry of Education and Sports</t>
  </si>
  <si>
    <t>1606 Retooling of Busitema University</t>
  </si>
  <si>
    <t>1685 Retooling of Muni University</t>
  </si>
  <si>
    <t>1649 Retooling of Uganda National Examinations Board</t>
  </si>
  <si>
    <t>1602 Retooling of Education service Commission</t>
  </si>
  <si>
    <t>1603 Retooling of Makerere University</t>
  </si>
  <si>
    <t>1607 Retooling of Makerere University Business School</t>
  </si>
  <si>
    <t>1604 Retooling of Kyambogo University</t>
  </si>
  <si>
    <t>1608 Retooling of Gulu University</t>
  </si>
  <si>
    <t>1464 Institutional Support to Lira University - Retooling</t>
  </si>
  <si>
    <t>1681 Retooling of National Curriculum Development Centre</t>
  </si>
  <si>
    <t>1605 Retooling of Kabale University</t>
  </si>
  <si>
    <t>1634 Retooling of Uganda AIDS Commission</t>
  </si>
  <si>
    <t>1570 Retooling of Uganda Cancer Institute</t>
  </si>
  <si>
    <t>1568 Retooling of Uganda Heart Institute</t>
  </si>
  <si>
    <t>1567 Retooling of National Medical Stores</t>
  </si>
  <si>
    <t>1635 Retooling of Health Service Commission</t>
  </si>
  <si>
    <t>1672 Retooling of Uganda Blood Transfusion services</t>
  </si>
  <si>
    <t>1637 Retooling of Mulago National Referral Hospital</t>
  </si>
  <si>
    <t>1572 Retooling of Butabika National Referral Hospital</t>
  </si>
  <si>
    <t>1581 Retooling of Arua Rehabilitation Referral Hospital</t>
  </si>
  <si>
    <t>1576 Retooling of Fort Portal Regional Referral Hospital</t>
  </si>
  <si>
    <t>1585 Retooling of Gulu Regional Referral Hospital</t>
  </si>
  <si>
    <t>1584 Retooling of Hoima Regional Referral Hospital</t>
  </si>
  <si>
    <t>1636 Retooling of Jinja Regional Referral Hospital</t>
  </si>
  <si>
    <t>1582 Retooling of Kabale Regional Referral Hospital</t>
  </si>
  <si>
    <t>1586 Retooling of Masaka Regional Referral Hospital</t>
  </si>
  <si>
    <t>1580 Retooling of Mbale Regional Referral Hospital</t>
  </si>
  <si>
    <t>1587 Retooling of Soroti Regional Referral Hospital</t>
  </si>
  <si>
    <t>1583 Retooling of Lira Regional Hospital</t>
  </si>
  <si>
    <t>1578 Retooling of Mbarara Regional Referral Hospital</t>
  </si>
  <si>
    <t>1579 Retooling of Mubende Regional Referral Hospital</t>
  </si>
  <si>
    <t>1577 Retooling of Moroto Rehabilitation Referral Hospital</t>
  </si>
  <si>
    <t>1571 Retooling of National Trauma Centre, Naguru</t>
  </si>
  <si>
    <t>1574 Retooling of to Kiruddu National Referral Hospital</t>
  </si>
  <si>
    <t>1575 Retooling of Kawempe National Referral Hospital</t>
  </si>
  <si>
    <t>1588 Retooling of Entebbe Regional Referral Hospital</t>
  </si>
  <si>
    <t>1573 Retooling of Mulago Specialised Women and Neonatal Hospital</t>
  </si>
  <si>
    <t>1569 Retooling of Uganda Virus Research Institute</t>
  </si>
  <si>
    <t>1638 Retooling of Ministry of Water and Environment</t>
  </si>
  <si>
    <t>1639 Retooling of National Environment Management Authority</t>
  </si>
  <si>
    <t>1678 Retooling of Uganda National Meteorological Authority</t>
  </si>
  <si>
    <t>1627 Retooling of Ministry of Gender, Labour and Social Development and its Institutions.</t>
  </si>
  <si>
    <t>1628 Retooling of  Equal Opportunities Commission</t>
  </si>
  <si>
    <t>1593 Retooling of Internal Security Organization</t>
  </si>
  <si>
    <t>1630 Retooling of Ministry of Defense and Veteran Affairs</t>
  </si>
  <si>
    <t>1631 Retooling of External Security Organization</t>
  </si>
  <si>
    <t>1644 Retooling of the Judiciary</t>
  </si>
  <si>
    <t xml:space="preserve">1668 Retooling the Uganda Law Reform Commission </t>
  </si>
  <si>
    <t>1670 Retooling the Uganda Human Rights Commission</t>
  </si>
  <si>
    <t>1640 Retooling of the Law Development Centre</t>
  </si>
  <si>
    <t xml:space="preserve">1648 Retooling of Uganda Registration Services Bureau </t>
  </si>
  <si>
    <t>1671 Retooling the National Citizenship and Immigration Control</t>
  </si>
  <si>
    <t>1645 Retooling of Office of the Director of Public Prosecutions</t>
  </si>
  <si>
    <t xml:space="preserve">1669 Retooling the Uganda Police Force </t>
  </si>
  <si>
    <t xml:space="preserve">1643 Retooling of Uganda Prisons Service </t>
  </si>
  <si>
    <t xml:space="preserve">1646 Retooling of Judicial Service Commission </t>
  </si>
  <si>
    <t>1642 Retooling for Directorate of Government Analytical Laboratory</t>
  </si>
  <si>
    <t xml:space="preserve">1667 Retooling the National Identification and Registration Authority </t>
  </si>
  <si>
    <t>1682 Retooling of Public Service</t>
  </si>
  <si>
    <t>1691 Retooling of Ministry of East African Affairs</t>
  </si>
  <si>
    <t>1629 Retooling of National Planning Authority</t>
  </si>
  <si>
    <t>1674 Retooling of Public Service Commission</t>
  </si>
  <si>
    <t>1208 Support to National Authorising Officer</t>
  </si>
  <si>
    <t>1625 Retooling of Ministry of Finance, Planning and Economic Development</t>
  </si>
  <si>
    <t>1496 Construction of the IGG Head Office building Project</t>
  </si>
  <si>
    <t>1684 Retooling of Inspectorate of Government</t>
  </si>
  <si>
    <t>1623 Retooling of Financial Intelligence Authority</t>
  </si>
  <si>
    <t>1690 Retooling of  Office of the Auditor General</t>
  </si>
  <si>
    <t>1622 Retooling of Uganda Revenue Authority</t>
  </si>
  <si>
    <t xml:space="preserve">1626 Retooling of Uganda Bureau of Statistics </t>
  </si>
  <si>
    <t>1621 Retooling of Public Procurement and Disposal of Public Assets Authority</t>
  </si>
  <si>
    <t>1624 Retooling of Uganda Investment Authority</t>
  </si>
  <si>
    <t>0355 Rehabilitation of Parliament</t>
  </si>
  <si>
    <t>1589 Retooling of Office of the President</t>
  </si>
  <si>
    <t>1590 Retooling of State House</t>
  </si>
  <si>
    <t>1591 Retooling of Ministry of Foreign Affairs</t>
  </si>
  <si>
    <t>1687 Retooling of Electoral Commission</t>
  </si>
  <si>
    <t>1598 Retooling of Uganda Industrial Research Institute</t>
  </si>
  <si>
    <t>1651 Retooling of Local Government Finance Commission</t>
  </si>
  <si>
    <t>1188 Protection of Lake Victoria-Kampala Sanitation Program</t>
  </si>
  <si>
    <t>1193 Kampala Water Lake Victoria Water and Sanitation Project</t>
  </si>
  <si>
    <t>1302 Support for Hydro-Power Devt and Operations on River Nile</t>
  </si>
  <si>
    <t>1347 Solar Powered Mini-Piped Water Schemes in rural Areas</t>
  </si>
  <si>
    <t>1396 Water for Production Regional Center-North (WfPRC-N) based in Lira</t>
  </si>
  <si>
    <t>1397 Water for Production Regional Center-East (WfPRC_E) based in Mbale</t>
  </si>
  <si>
    <t>1398 Water for Production Regional Centre-West (WfPRC-W) based in Mbarara</t>
  </si>
  <si>
    <t>1399 Karamoja Small Town and Rural growth Centers Water Supply and Sanitation Project</t>
  </si>
  <si>
    <t>1417 Farm Income Enhancement and Forestry Conservation Project Phase II (FIEFOC II)</t>
  </si>
  <si>
    <t>1424 Multi-Lateral Lakes Edward &amp; Albert Integrated Fisheries and Water Resources Management (LEAFII)</t>
  </si>
  <si>
    <t>1438 Water Services Acceleration Project (SCAP)</t>
  </si>
  <si>
    <t>1487 Enhancing Resilience of Communities to Climate Change</t>
  </si>
  <si>
    <t>1522 Inner Murchison Bay Cleanup Project</t>
  </si>
  <si>
    <t>1523 Water for Production Phase II</t>
  </si>
  <si>
    <t>1524 Water and Sanitation Development Facility - East-Phase II</t>
  </si>
  <si>
    <t>1525 Water and Sanitation Development Facility - South Western-Phase II</t>
  </si>
  <si>
    <t>1529 Strategic Towns Water Supply and Sanitation Project (STWSSP)</t>
  </si>
  <si>
    <t>1530 Integrated Water Resources Management and Development Project (IWMDP)</t>
  </si>
  <si>
    <t>1531 South Western Cluster (SWC) Project</t>
  </si>
  <si>
    <t>1532 100% Service Coverage Acceleration Project - umbrellas (SCAP 100 - umbrellas)</t>
  </si>
  <si>
    <t>1533 Water and Sanitation Development Facility Central - Phase II</t>
  </si>
  <si>
    <t>1534 Water and Sanitation Development Facility North - Phase II</t>
  </si>
  <si>
    <t>1559 Drought Resilience in Karamoja sub-region project</t>
  </si>
  <si>
    <t>1562 Lake Victoria Water and Sanitation (LVWATSAN) Phase 3</t>
  </si>
  <si>
    <t>1613 Investing in Forests and Protected Areas for Climate-Smart Development</t>
  </si>
  <si>
    <t>1614 Support To Rural Water Supply and Sanitation Project</t>
  </si>
  <si>
    <t>1660 Strengthening Water Utilities Regulation Project</t>
  </si>
  <si>
    <t>1661 Irrigation For Climate Resilience Project Profile</t>
  </si>
  <si>
    <t>1662 Water Management Zones Project Phase 2</t>
  </si>
  <si>
    <t>1666 Development of Solar Powered Irrigation and Water Supply Systems</t>
  </si>
  <si>
    <t>1697 Natural Wetlands Restoration Project</t>
  </si>
  <si>
    <t>1289 Competitiveness and Enterprise Development Project [CEDP] -012</t>
  </si>
  <si>
    <t>1338 Skills Development Project -013</t>
  </si>
  <si>
    <t>1289 Competitiveness and Enterprise Development Project [CEDP] -008</t>
  </si>
  <si>
    <t>1338 Skills Development Project -008</t>
  </si>
  <si>
    <t>1686 Retooling of Kampala Capital City Authority -01</t>
  </si>
  <si>
    <t>1686 Retooling of Kampala Capital City Authority -04</t>
  </si>
  <si>
    <t>1686 Retooling of Kampala Capital City Authority -07</t>
  </si>
  <si>
    <t>1686 Retooling of Kampala Capital City Authority -08</t>
  </si>
  <si>
    <t>1686 Retooling of Kampala Capital City Authority -09</t>
  </si>
  <si>
    <t>1686 Retooling of Kampala Capital City Authority -10</t>
  </si>
  <si>
    <t>1686 Retooling of Kampala Capital City Authority -13</t>
  </si>
  <si>
    <t>1686 Retooling of Kampala Capital City Authority -14</t>
  </si>
  <si>
    <t>Adjusted Linking Codes</t>
  </si>
  <si>
    <t>LINKING_CODE</t>
  </si>
  <si>
    <t>Sustainable Urban Development</t>
  </si>
  <si>
    <t>Development of Museums and Heritage Sites for Cultural Tourism (Phase II)</t>
  </si>
  <si>
    <t>1699 Development of Museums and Heritage Sites for Cultural Tourism (Phase II) -022</t>
  </si>
  <si>
    <t>Check link  to Mother</t>
  </si>
  <si>
    <t>Linked</t>
  </si>
  <si>
    <t>Status</t>
  </si>
  <si>
    <t>Arrears</t>
  </si>
  <si>
    <t xml:space="preserve">FY1 (FY22-23) </t>
  </si>
  <si>
    <t xml:space="preserve">FY2 (FY23-24) </t>
  </si>
  <si>
    <t xml:space="preserve">FY3 (FY24-25) </t>
  </si>
  <si>
    <t xml:space="preserve">FY4 (FY25-26) </t>
  </si>
  <si>
    <t>Values formatted in Billions (i.e devide by 10^9)</t>
  </si>
  <si>
    <t>Column Labels</t>
  </si>
  <si>
    <t>Arrears + Commitments (FY21/22)</t>
  </si>
  <si>
    <t>Values formatted in Billions</t>
  </si>
  <si>
    <t>New</t>
  </si>
  <si>
    <t>Ongoing</t>
  </si>
  <si>
    <t>Ministry of Health</t>
  </si>
  <si>
    <t>Ministry of Justice and Constitutional Affairs</t>
  </si>
  <si>
    <t>Vote Name</t>
  </si>
  <si>
    <t>Wage</t>
  </si>
  <si>
    <t>Non Wage</t>
  </si>
  <si>
    <t>Ext. Fin</t>
  </si>
  <si>
    <t>Office of the President</t>
  </si>
  <si>
    <t>State House</t>
  </si>
  <si>
    <t>Office of the Prime Minister</t>
  </si>
  <si>
    <t>Ministry of Defence and Veteran Affairs</t>
  </si>
  <si>
    <t>Ministry of Public Service</t>
  </si>
  <si>
    <t>Ministry of Foreign Affairs</t>
  </si>
  <si>
    <t>Ministry of Finance, Planning &amp; Economic Dev.</t>
  </si>
  <si>
    <t>Ministry of Internal Affairs</t>
  </si>
  <si>
    <t>Ministry of Agriculture, Animal Industry &amp; Fisheries</t>
  </si>
  <si>
    <t>Ministry of Local Government</t>
  </si>
  <si>
    <t>Ministry of Lands, Housing &amp; Urban Development</t>
  </si>
  <si>
    <t>Ministry of Education and Sports</t>
  </si>
  <si>
    <t>Ministry of Trade, Industry and Cooperatives</t>
  </si>
  <si>
    <t>Ministry of Works and Transport</t>
  </si>
  <si>
    <t>Ministry of Energy and Mineral Development</t>
  </si>
  <si>
    <t>Ministry of Gender, Labour and Social Development</t>
  </si>
  <si>
    <t>Ministry of Water and Environment</t>
  </si>
  <si>
    <t>Ministry of ICT and National Guidance</t>
  </si>
  <si>
    <t>East African Community</t>
  </si>
  <si>
    <t>Ministry of Tourism, Wildlife and Antiquities</t>
  </si>
  <si>
    <t>Ministry of Science, Technology and Innovation</t>
  </si>
  <si>
    <t>Specified Officers - Salaries (Statutory)</t>
  </si>
  <si>
    <t>Judiciary</t>
  </si>
  <si>
    <t>Electoral Commission</t>
  </si>
  <si>
    <t>Inspectorate of Government (IG)</t>
  </si>
  <si>
    <t>Parliamentary Commission</t>
  </si>
  <si>
    <t>Law Reform Commission</t>
  </si>
  <si>
    <t>Uganda Human Rights Comm</t>
  </si>
  <si>
    <t>Uganda AIDS Commission</t>
  </si>
  <si>
    <t>National Planning Authority</t>
  </si>
  <si>
    <t>Law Development Centre</t>
  </si>
  <si>
    <t>Uganda Industrial Research Institute</t>
  </si>
  <si>
    <t>Busitema University</t>
  </si>
  <si>
    <t>Ethics and Integrity</t>
  </si>
  <si>
    <t>Uganda National Roads Authority</t>
  </si>
  <si>
    <t>Uganda Cancer Institute</t>
  </si>
  <si>
    <t>Uganda Heart Institute</t>
  </si>
  <si>
    <t>National Medical Stores</t>
  </si>
  <si>
    <t>Uganda Tourism Board</t>
  </si>
  <si>
    <t>Road Fund</t>
  </si>
  <si>
    <t>Uganda Registration Services Bureau</t>
  </si>
  <si>
    <t>National Citizenship and Immigration Control</t>
  </si>
  <si>
    <t>Dairy Development Authority</t>
  </si>
  <si>
    <t>Kampala Capital City Authority</t>
  </si>
  <si>
    <t>Rural Electrification Agency (REA)</t>
  </si>
  <si>
    <t>Equal Opportunities Commission</t>
  </si>
  <si>
    <t>National Animal Genetic Res. Centre and Data Bank</t>
  </si>
  <si>
    <t>National Information Technology Authority</t>
  </si>
  <si>
    <t>Muni University</t>
  </si>
  <si>
    <t>Uganda National Examinations Board</t>
  </si>
  <si>
    <t>Financial Intelligence Authority (FIA)</t>
  </si>
  <si>
    <t>Treasury Operations (Interest payments)</t>
  </si>
  <si>
    <t>Auditor General</t>
  </si>
  <si>
    <t>Education Service Commission</t>
  </si>
  <si>
    <t>Office of the  Director of Public Prosecutions</t>
  </si>
  <si>
    <t>Health Service Commission</t>
  </si>
  <si>
    <t>Makerere University</t>
  </si>
  <si>
    <t>Mbarara University</t>
  </si>
  <si>
    <t>Makerere University Business School</t>
  </si>
  <si>
    <t>Kyambogo University</t>
  </si>
  <si>
    <t>Uganda Management Institute</t>
  </si>
  <si>
    <t>URA</t>
  </si>
  <si>
    <t>National Agricultural Research Organisation</t>
  </si>
  <si>
    <t>Uganda Bureau of Statistics</t>
  </si>
  <si>
    <t>Uganda Police Force</t>
  </si>
  <si>
    <t>Uganda Prisons</t>
  </si>
  <si>
    <t>Public Service Commission</t>
  </si>
  <si>
    <t>Local Government Finance Comm</t>
  </si>
  <si>
    <t>Judicial Service Commission</t>
  </si>
  <si>
    <t>Gulu University</t>
  </si>
  <si>
    <t>National Environment Management Authority</t>
  </si>
  <si>
    <t>Uganda Blood Transfusion Service (UBTS)</t>
  </si>
  <si>
    <t>NAADS Secretariat</t>
  </si>
  <si>
    <t xml:space="preserve">153 </t>
  </si>
  <si>
    <t>PPDA</t>
  </si>
  <si>
    <t>Uganda National Bureau of Standards</t>
  </si>
  <si>
    <t>Uganda Cotton Development Organisation</t>
  </si>
  <si>
    <t>Uganda Land Commission</t>
  </si>
  <si>
    <t>National Forestry Authority</t>
  </si>
  <si>
    <t>External Security Organisation</t>
  </si>
  <si>
    <t>Uganda Coffee Development Authority</t>
  </si>
  <si>
    <t>Mulago Hospital Complex</t>
  </si>
  <si>
    <t>Butabika Hospital</t>
  </si>
  <si>
    <t>Lira University</t>
  </si>
  <si>
    <t>Uganda National Meteorological Authority</t>
  </si>
  <si>
    <t>National Curriculum Development Centre</t>
  </si>
  <si>
    <t>Uganda Virus Research Institute (UVRI)</t>
  </si>
  <si>
    <t>Directorate of Government Analytical Laboratory</t>
  </si>
  <si>
    <t>Uganda Export Promotion Board</t>
  </si>
  <si>
    <t>Kabale University</t>
  </si>
  <si>
    <t>Soroti University</t>
  </si>
  <si>
    <t>National Identification and Registration Authority</t>
  </si>
  <si>
    <t>Uganda Investment Authority</t>
  </si>
  <si>
    <t>Petroleum Authority of Uganda</t>
  </si>
  <si>
    <t>163-176</t>
  </si>
  <si>
    <t>Regional Referral Hospitals</t>
  </si>
  <si>
    <t>201-238</t>
  </si>
  <si>
    <t>Missions Abroad</t>
  </si>
  <si>
    <t>501-850</t>
  </si>
  <si>
    <t>Local Governments</t>
  </si>
  <si>
    <t xml:space="preserve">Total  </t>
  </si>
  <si>
    <t>CHK</t>
  </si>
  <si>
    <t>Values</t>
  </si>
  <si>
    <t>GoU</t>
  </si>
  <si>
    <t>EF</t>
  </si>
  <si>
    <t>FY2021-22</t>
  </si>
  <si>
    <t>FY2022-23</t>
  </si>
  <si>
    <t xml:space="preserve">FY2023-24 </t>
  </si>
  <si>
    <t xml:space="preserve">FY2024-25 </t>
  </si>
  <si>
    <t xml:space="preserve">FY2025-26 </t>
  </si>
  <si>
    <t xml:space="preserve">Vote Code and Name </t>
  </si>
  <si>
    <t>003 Office of the Prime Minister</t>
  </si>
  <si>
    <t>007 Ministry of Justice and Constitutional Affairs</t>
  </si>
  <si>
    <t>009 Ministry of Internal Affairs</t>
  </si>
  <si>
    <t>011 Ministry of Local Government</t>
  </si>
  <si>
    <t>012 Ministry of Lands, Housing &amp; Urban Development</t>
  </si>
  <si>
    <t>013 Ministry of Education and Sports</t>
  </si>
  <si>
    <t>015 Ministry of Trade, Industry and Cooperatives</t>
  </si>
  <si>
    <t>016 Ministry of Works and Transport</t>
  </si>
  <si>
    <t>020 Ministry of ICT and National Guidance</t>
  </si>
  <si>
    <t>022 Ministry of Tourism, Wildlife and Antiquities</t>
  </si>
  <si>
    <t>023 Ministry of Science, Technology and Innovation</t>
  </si>
  <si>
    <t>113 Uganda National Roads Authority</t>
  </si>
  <si>
    <t>117 Uganda Tourism Board</t>
  </si>
  <si>
    <t>123 Rural Electrification Agency (REA)</t>
  </si>
  <si>
    <t>137 Mbarara University</t>
  </si>
  <si>
    <t>154 Uganda National Bureau of Standards</t>
  </si>
  <si>
    <t>306 Uganda Export Promotion Board</t>
  </si>
  <si>
    <t>308 Soroti University</t>
  </si>
  <si>
    <t>GOU 21-22</t>
  </si>
  <si>
    <t>EF 21-22</t>
  </si>
  <si>
    <t>EF 22-23</t>
  </si>
  <si>
    <t>GOU 22-23</t>
  </si>
  <si>
    <t>GOU 23-24</t>
  </si>
  <si>
    <t>EF 23-24</t>
  </si>
  <si>
    <t>GOU 24-25</t>
  </si>
  <si>
    <t>EF 24-25</t>
  </si>
  <si>
    <t>MTEF</t>
  </si>
  <si>
    <t>21-22</t>
  </si>
  <si>
    <t>22-23</t>
  </si>
  <si>
    <t>23-24</t>
  </si>
  <si>
    <t>Figure 1: Commitments over the MTEF period (UGX billion)</t>
  </si>
  <si>
    <t>Filters out Retooling and new projects</t>
  </si>
  <si>
    <t>FY21-22</t>
  </si>
  <si>
    <t>FY22-23</t>
  </si>
  <si>
    <t>FY23-24</t>
  </si>
  <si>
    <t>FY24-25</t>
  </si>
  <si>
    <t>Notes:</t>
  </si>
  <si>
    <t>NDP III</t>
  </si>
  <si>
    <t>Figure 1 Chart Data (GoU linked to Pivot)</t>
  </si>
  <si>
    <t>Figures 2 and 3 Chart Data (GoU linked to Pivot)</t>
  </si>
  <si>
    <t xml:space="preserve">Figure 3: </t>
  </si>
  <si>
    <t>Figure 2: GoU project commitments and the MTEF GoU Development Ceilings</t>
  </si>
  <si>
    <t>NDP III project commitments, GOU commitments and the MTEF GoU Development Ceilings (UGX billion)</t>
  </si>
  <si>
    <t>FY21-22 GoU figure Includes arrears and excludes retooling projects and new projects</t>
  </si>
  <si>
    <t>Devt 
21-22</t>
  </si>
  <si>
    <t>Ext. Fin
21-22</t>
  </si>
  <si>
    <t>Devt 
22-23</t>
  </si>
  <si>
    <t>Ext. Fin
22-23</t>
  </si>
  <si>
    <t>Devt 
23-24</t>
  </si>
  <si>
    <t>Ext. Fin
23-24</t>
  </si>
  <si>
    <t>Devt 
24-25</t>
  </si>
  <si>
    <t>Ext. Fin
24-25</t>
  </si>
  <si>
    <t>ANNEX 3 : New and Retooling Projects</t>
  </si>
  <si>
    <t>ANNEX 2 : PIP and Multi Year Project Commitments 2021/22 - 2024-25</t>
  </si>
  <si>
    <t>Annex 1: Multi Year Commitments for the 20 pilot votes using the MYCS template</t>
  </si>
  <si>
    <t>GoU Funded 
(a)</t>
  </si>
  <si>
    <t>External Financing 
(b)</t>
  </si>
  <si>
    <t>MTEF GoU 
(c)</t>
  </si>
  <si>
    <t>MTEF External 
(d)</t>
  </si>
  <si>
    <t>GoU Funded
(a-c)</t>
  </si>
  <si>
    <t>External Financing 
(b-d)</t>
  </si>
  <si>
    <t>FY0 (FY21-22)</t>
  </si>
  <si>
    <t>Commitments</t>
  </si>
  <si>
    <t>Variance analysis for FY2021-22. A positive value denotes commitments are higher than the MTEF ceiling</t>
  </si>
  <si>
    <t>Agro – Industrialization Total</t>
  </si>
  <si>
    <t>Community Mobilization and Mindset Change Total</t>
  </si>
  <si>
    <t>Development Plan Implementation  Total</t>
  </si>
  <si>
    <t>Digital Transformation Total</t>
  </si>
  <si>
    <t>Governance and Security Strengthening Total</t>
  </si>
  <si>
    <t>Human Capital Development Total</t>
  </si>
  <si>
    <t>Innovation, Technology Development &amp; Transfer Total</t>
  </si>
  <si>
    <t>Integrated Transport Infrastructure and Services Total</t>
  </si>
  <si>
    <t>Manufacturing Total</t>
  </si>
  <si>
    <t>Mineral Development Total</t>
  </si>
  <si>
    <t>Petroleum Development Total</t>
  </si>
  <si>
    <t>Private Sector Development Total</t>
  </si>
  <si>
    <t>Public Sector Transformation Total</t>
  </si>
  <si>
    <t>Regional Development Total</t>
  </si>
  <si>
    <t>Sustainable Energy Development Total</t>
  </si>
  <si>
    <t>Sustainable Urban Development Total</t>
  </si>
  <si>
    <t>Tourism Development Total</t>
  </si>
  <si>
    <t>Water, Climate Change and ENR Management Total</t>
  </si>
  <si>
    <t>Grand Total</t>
  </si>
  <si>
    <t>20-21</t>
  </si>
  <si>
    <t>Program Code</t>
  </si>
  <si>
    <t>Code</t>
  </si>
  <si>
    <t>Name</t>
  </si>
  <si>
    <t xml:space="preserve">GOU 21/22 </t>
  </si>
  <si>
    <t xml:space="preserve">GOU 22/23 </t>
  </si>
  <si>
    <t xml:space="preserve">GOU 23/24 </t>
  </si>
  <si>
    <t xml:space="preserve">GOU 24/25 </t>
  </si>
  <si>
    <t>a</t>
  </si>
  <si>
    <t>b</t>
  </si>
  <si>
    <t>c</t>
  </si>
  <si>
    <t>d</t>
  </si>
  <si>
    <t>e</t>
  </si>
  <si>
    <t>f</t>
  </si>
  <si>
    <t>g</t>
  </si>
  <si>
    <t>h</t>
  </si>
  <si>
    <t>a - e</t>
  </si>
  <si>
    <t>b - f</t>
  </si>
  <si>
    <t>c - g</t>
  </si>
  <si>
    <t>d-h</t>
  </si>
  <si>
    <t>Table 3: Variance between MTEF Development Ceiling and Project Commitments (UGX Bn.)</t>
  </si>
  <si>
    <t>FY20-21</t>
  </si>
  <si>
    <t>MTEF Ceilings</t>
  </si>
  <si>
    <t>By Vote and Program</t>
  </si>
  <si>
    <t>Aggregated Commitment Data</t>
  </si>
  <si>
    <t>Consilidated Vote MYCS Templates</t>
  </si>
  <si>
    <t xml:space="preserve">Charts </t>
  </si>
  <si>
    <t>Annex 1 Commitments</t>
  </si>
  <si>
    <t>Charts for the MYCS</t>
  </si>
  <si>
    <t>Vote Level Summary of the pilot votes</t>
  </si>
  <si>
    <t>Table 3</t>
  </si>
  <si>
    <t>Table 3 in the MYCS (MTEF Program ceilings vs. Commitments)</t>
  </si>
  <si>
    <t>Annex 2 Master List of Projects</t>
  </si>
  <si>
    <t>PIP and Multi Year Project Commitments 2021/22 - 2024-25. Filter on column L for retooling and new</t>
  </si>
  <si>
    <t>Annex 3</t>
  </si>
  <si>
    <t>Same as Annex 2 but retooling and new projects only</t>
  </si>
  <si>
    <t xml:space="preserve">Analysis Sheets </t>
  </si>
  <si>
    <t>Variance Analysis by Vote and Project for desk officers</t>
  </si>
  <si>
    <t>MYC OFFICE OF THE PRESIDENT edited</t>
  </si>
  <si>
    <t>Gross underfunding being experienced so far and will negatively affect achievement of project objectives. Intervention by MoFPED through prioritisation and increased funding is required</t>
  </si>
  <si>
    <t>Creation of new administrative units and appoinment of additonal Presidential Advisers makes it achallenge for the Project to achieve targets for the 5 year period</t>
  </si>
  <si>
    <t>Retooling of Uganda Mission in Guangzhou</t>
  </si>
  <si>
    <t>Retooling of Mission in Juba</t>
  </si>
  <si>
    <t>Retooling Mission in Canberra</t>
  </si>
  <si>
    <t>Retooling of Mission in ANKARA</t>
  </si>
  <si>
    <t>Retooling of Mission in Mogadishu</t>
  </si>
  <si>
    <t>Retooling of Mission in Qatar Doha</t>
  </si>
  <si>
    <t>Retooling of Mission in Kualar Lumpur</t>
  </si>
  <si>
    <t>Retooling of Mission in Berlin , Germany</t>
  </si>
  <si>
    <t>Retooling of Mission in Mombasa</t>
  </si>
  <si>
    <t>Retooling of Mission in Khartoum - Sudan</t>
  </si>
  <si>
    <t>Retooling of Mission in Kinshasa - D.R Congo</t>
  </si>
  <si>
    <t>Retooling of Mission in Rome - Italy</t>
  </si>
  <si>
    <t>Retooling of Mission in Algiers</t>
  </si>
  <si>
    <t>Retooling of Mission in Tokyo - Japan</t>
  </si>
  <si>
    <t>Retooling of Mission in Geneva - Switzerland</t>
  </si>
  <si>
    <t>Retooling of Mission in Kigali - Rwanda</t>
  </si>
  <si>
    <t>Retooling of Mission in Beijing - China</t>
  </si>
  <si>
    <t>Retooling of Mission in Addis Ababa - Ethiopia</t>
  </si>
  <si>
    <t>Retooling of Mission in Pretoria - South Africa</t>
  </si>
  <si>
    <t>Retooling of Mission in Abuja - Nigeria</t>
  </si>
  <si>
    <t>Retooling of Mission in Dar es saalam - Tanzania</t>
  </si>
  <si>
    <t>Retooling of Mission in Nairobi - Kenya</t>
  </si>
  <si>
    <t>Retooling of Mission in Cairo - Egypt</t>
  </si>
  <si>
    <t>Retooling of Mission in London - United Kingdom</t>
  </si>
  <si>
    <t>Retooling of Mission in Bujumbura - Burundi</t>
  </si>
  <si>
    <t>Retooling of Mission in New Delhi - INDIA</t>
  </si>
  <si>
    <t>Retooling of Mission in Tehran- IRAN</t>
  </si>
  <si>
    <t>Retooling of Mission in Copenhagen - Denmark</t>
  </si>
  <si>
    <t>Retooling Mission in Riyadh- SAUDI ARABIA</t>
  </si>
  <si>
    <t>Retooling of Mission in Moscow- Russia</t>
  </si>
  <si>
    <t>Retooling of Mission in New york - USA</t>
  </si>
  <si>
    <t>Retooling of Mission in BRUSSELS - BELGIUM</t>
  </si>
  <si>
    <t>Retooling of Mission in PARIS - FRANCE</t>
  </si>
  <si>
    <t>Retooling of Mission in Ottawa - Canada</t>
  </si>
  <si>
    <t>Retooling Mission in Abu Dhabi</t>
  </si>
  <si>
    <t>Retooling of Mission in Washington -USA</t>
  </si>
  <si>
    <t>Retooling of National Council of Sports</t>
  </si>
  <si>
    <t>Retooling of the Uganda Business and Technical  Examination Board</t>
  </si>
  <si>
    <t>Retooling of the National Council of Higher Education</t>
  </si>
  <si>
    <t>Retooling of Diary Development Authority</t>
  </si>
  <si>
    <t>Retooling of the National Animal Genetic Resources Centre and Data Bank</t>
  </si>
  <si>
    <t>Retooling of Rural Electrification Authority</t>
  </si>
  <si>
    <t>Retooling of National Agricultural Advisory Services Secretariat</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</si>
  <si>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</si>
  <si>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</si>
  <si>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</si>
  <si>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</si>
  <si>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</si>
  <si>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</si>
  <si>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</si>
  <si>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</si>
  <si>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</si>
  <si>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</si>
  <si>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</si>
  <si>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</si>
  <si>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</si>
  <si>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</si>
  <si>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</si>
  <si>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</si>
  <si>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</si>
  <si>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</si>
  <si>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</si>
  <si>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</si>
  <si>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</si>
  <si>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</si>
  <si>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</si>
  <si>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</si>
  <si>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</si>
  <si>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</si>
  <si>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</si>
  <si>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</si>
  <si>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</si>
  <si>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</si>
  <si>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</si>
  <si>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</si>
  <si>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</si>
  <si>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</si>
  <si>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</si>
  <si>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</si>
  <si>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1747</t>
  </si>
  <si>
    <t>1748</t>
  </si>
  <si>
    <t>1749</t>
  </si>
  <si>
    <t>1751</t>
  </si>
  <si>
    <t>1752</t>
  </si>
  <si>
    <t>1753</t>
  </si>
  <si>
    <t>1754</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</si>
  <si>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</si>
  <si>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</si>
  <si>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</si>
  <si>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</si>
  <si>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</si>
  <si>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</si>
  <si>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</si>
  <si>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</si>
  <si>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</si>
  <si>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</si>
  <si>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</si>
  <si>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</si>
  <si>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</si>
  <si>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</si>
  <si>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</si>
  <si>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</si>
  <si>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</si>
  <si>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</si>
  <si>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</si>
  <si>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</si>
  <si>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</si>
  <si>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</si>
  <si>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</si>
  <si>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</si>
  <si>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</si>
  <si>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</si>
  <si>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</si>
  <si>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</si>
  <si>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</si>
  <si>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</si>
  <si>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</si>
  <si>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</si>
  <si>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</si>
  <si>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</si>
  <si>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</si>
  <si>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</si>
  <si>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</si>
  <si>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</si>
  <si>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</si>
  <si>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</si>
  <si>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</si>
  <si>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</si>
  <si>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1710 Retooling of Uganda Mission in Guangzhou</t>
  </si>
  <si>
    <t>1711 Retooling of Mission in Juba</t>
  </si>
  <si>
    <t>1712 Retooling Mission in Canberra</t>
  </si>
  <si>
    <t>1713 Retooling of Mission in ANKARA</t>
  </si>
  <si>
    <t>1714 Retooling of Mission in Mogadishu</t>
  </si>
  <si>
    <t>1715 Retooling of Mission in Qatar Doha</t>
  </si>
  <si>
    <t>1716 Retooling of Mission in Kualar Lumpur</t>
  </si>
  <si>
    <t>1717 Retooling of Mission in Berlin , Germany</t>
  </si>
  <si>
    <t>1718 Retooling of Mission in Mombasa</t>
  </si>
  <si>
    <t>1719 Retooling of Mission in Khartoum - Sudan</t>
  </si>
  <si>
    <t>1720 Retooling of Mission in Kinshasa - D.R Congo</t>
  </si>
  <si>
    <t>1721 Retooling of Mission in Rome - Italy</t>
  </si>
  <si>
    <t>1722 Retooling of Mission in Algiers</t>
  </si>
  <si>
    <t>1723 Retooling of Mission in Tokyo - Japan</t>
  </si>
  <si>
    <t>1724 Retooling of Mission in Geneva - Switzerland</t>
  </si>
  <si>
    <t>1725 Retooling of Mission in Kigali - Rwanda</t>
  </si>
  <si>
    <t>1726 Retooling of Mission in Beijing - China</t>
  </si>
  <si>
    <t>1727 Retooling of Mission in Addis Ababa - Ethiopia</t>
  </si>
  <si>
    <t>1728 Retooling of Mission in Pretoria - South Africa</t>
  </si>
  <si>
    <t>1729 Retooling of Mission in Abuja - Nigeria</t>
  </si>
  <si>
    <t>1730 Retooling of Mission in Dar es saalam - Tanzania</t>
  </si>
  <si>
    <t>1731 Retooling of Mission in Nairobi - Kenya</t>
  </si>
  <si>
    <t>1732 Retooling of Mission in Cairo - Egypt</t>
  </si>
  <si>
    <t>1733 Retooling of Mission in London - United Kingdom</t>
  </si>
  <si>
    <t>1734 Retooling of Mission in Bujumbura - Burundi</t>
  </si>
  <si>
    <t>1735 Retooling of Mission in New Delhi - INDIA</t>
  </si>
  <si>
    <t>1736 Retooling of Mission in Tehran- IRAN</t>
  </si>
  <si>
    <t>1737 Retooling of Mission in Copenhagen - Denmark</t>
  </si>
  <si>
    <t>1738 Retooling Mission in Riyadh- SAUDI ARABIA</t>
  </si>
  <si>
    <t>1739 Retooling of Mission in Moscow- Russia</t>
  </si>
  <si>
    <t>1740 Retooling of Mission in New york - USA</t>
  </si>
  <si>
    <t>1741 Retooling of Mission in BRUSSELS - BELGIUM</t>
  </si>
  <si>
    <t>1742 Retooling of Mission in PARIS - FRANCE</t>
  </si>
  <si>
    <t>1743 Retooling of Mission in Ottawa - Canada</t>
  </si>
  <si>
    <t>1744 Retooling Mission in Abu Dhabi</t>
  </si>
  <si>
    <t>1745 Retooling of Mission in Washington -USA</t>
  </si>
  <si>
    <t>1747 Retooling of National Council of Sports</t>
  </si>
  <si>
    <t>1748 Retooling of the Uganda Business and Technical  Examination Board</t>
  </si>
  <si>
    <t>1749 Retooling of the National Council of Higher Education</t>
  </si>
  <si>
    <t>1751 Retooling of Diary Development Authority</t>
  </si>
  <si>
    <t>1752 Retooling of the National Animal Genetic Resources Centre and Data Bank</t>
  </si>
  <si>
    <t>1753 Retooling of Rural Electrification Authority</t>
  </si>
  <si>
    <t>1754 Retooling of National Agricultural Advisory Services Secretariat</t>
  </si>
  <si>
    <t>001 Office of the President</t>
  </si>
  <si>
    <t>(All)</t>
  </si>
  <si>
    <t>1709 Rice Development Project Phase II</t>
  </si>
  <si>
    <t>1709</t>
  </si>
  <si>
    <t>Total 24/26</t>
  </si>
  <si>
    <t>55</t>
  </si>
  <si>
    <t xml:space="preserve">Grand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</si>
</sst>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0_-;\-* #,##0_-;_-* &quot;-&quot;_-;_-@_-"/>
    <numFmt numFmtId="43" formatCode="_-* #,##0.00_-;\-* #,##0.00_-;_-* &quot;-&quot;??_-;_-@_-"/>
    <numFmt numFmtId="164" formatCode="_(* #,##0_);_(* \(#,##0\);_(* &quot;-&quot;_);_(@_)"/>
    <numFmt numFmtId="165" formatCode="_(* #,##0.00_);_(* \(#,##0.00\);_(* &quot;-&quot;??_);_(@_)"/>
    <numFmt numFmtId="166" formatCode="dd/mm/yyyy;@"/>
    <numFmt numFmtId="167" formatCode="_-* #,##0_-;\-* #,##0_-;_-* &quot;-&quot;??_-;_-@_-"/>
    <numFmt numFmtId="168" formatCode="_-* #,##0.0_-;\-* #,##0.0_-;_-* &quot;-&quot;??_-;_-@_-"/>
    <numFmt numFmtId="169" formatCode="0.000"/>
    <numFmt numFmtId="170" formatCode="_-* #,##0.0_-;\-* #,##0.0_-;_-* &quot;-&quot;_-;_-@_-"/>
    <numFmt numFmtId="171" formatCode="_-* #,##0.00_-;\-* #,##0.00_-;_-* &quot;-&quot;_-;_-@_-"/>
    <numFmt numFmtId="172" formatCode="0,,,"/>
    <numFmt numFmtId="173" formatCode="0.00,,,"/>
    <numFmt numFmtId="174" formatCode="_(* #,##0_);_(* \(#,##0\);_(* &quot;-&quot;??_);_(@_)"/>
    <numFmt numFmtId="175" formatCode="0.00,,,,"/>
    <numFmt numFmtId="176" formatCode="0.0"/>
    <numFmt numFmtId="177" formatCode="#,##0_);\(#,##0\)"/>
    <numFmt numFmtId="178" formatCode="d\-mmm\-yy"/>
    <numFmt numFmtId="179" formatCode="m/d/yyyy"/>
    <numFmt numFmtId="180" formatCode="#,##0.00_ ;[Red]\-#,##0.00\ "/>
  </numFmts>
  <fonts count="25" x14ac:knownFonts="1">
    <font>
      <sz val="11"/>
      <color theme="1"/>
      <name val="Calibri"/>
      <family val="2"/>
      <scheme val="minor"/>
    </font>
    <font>
      <sz val="11"/>
      <color theme="1"/>
      <name val="Calibri"/>
      <family val="2"/>
      <scheme val="minor"/>
    </font>
    <font>
      <sz val="11"/>
      <name val="Times New Roman"/>
      <family val="1"/>
    </font>
    <font>
      <sz val="8"/>
      <name val="Calibri"/>
      <family val="2"/>
      <scheme val="minor"/>
    </font>
    <font>
      <b/>
      <sz val="11"/>
      <name val="Times New Roman"/>
      <family val="1"/>
    </font>
    <font>
      <sz val="11"/>
      <color theme="1"/>
      <name val="Times New Roman"/>
      <family val="1"/>
    </font>
    <font>
      <b/>
      <sz val="11"/>
      <color theme="1"/>
      <name val="Calibri"/>
      <family val="2"/>
      <scheme val="minor"/>
    </font>
    <font>
      <b/>
      <sz val="16"/>
      <color theme="1"/>
      <name val="Times New Roman"/>
      <family val="1"/>
    </font>
    <font>
      <sz val="11"/>
      <color rgb="FFFF0000"/>
      <name val="Calibri"/>
      <family val="2"/>
      <scheme val="minor"/>
    </font>
    <font>
      <sz val="11"/>
      <color rgb="FF002060"/>
      <name val="Times New Roman"/>
      <family val="1"/>
    </font>
    <font>
      <i/>
      <sz val="11"/>
      <color rgb="FF002060"/>
      <name val="Calibri"/>
      <family val="2"/>
      <scheme val="minor"/>
    </font>
    <font>
      <sz val="10"/>
      <name val="Arial"/>
      <family val="2"/>
    </font>
    <font>
      <b/>
      <sz val="14"/>
      <name val="Times New Roman"/>
      <family val="1"/>
    </font>
    <font>
      <b/>
      <sz val="14"/>
      <color theme="1"/>
      <name val="Times New Roman"/>
      <family val="1"/>
    </font>
    <font>
      <sz val="14"/>
      <name val="Times New Roman"/>
      <family val="1"/>
    </font>
    <font>
      <sz val="14"/>
      <color theme="1"/>
      <name val="Times New Roman"/>
      <family val="1"/>
    </font>
    <font>
      <sz val="14"/>
      <color rgb="FFFF0000"/>
      <name val="Times New Roman"/>
      <family val="1"/>
    </font>
    <font>
      <b/>
      <sz val="11"/>
      <color theme="0"/>
      <name val="Calibri"/>
      <family val="2"/>
      <scheme val="minor"/>
    </font>
    <font>
      <b/>
      <i/>
      <sz val="11"/>
      <color theme="1"/>
      <name val="Calibri"/>
      <family val="2"/>
      <scheme val="minor"/>
    </font>
    <font>
      <sz val="11"/>
      <color theme="0"/>
      <name val="Calibri"/>
      <family val="2"/>
      <scheme val="minor"/>
    </font>
    <font>
      <b/>
      <sz val="11"/>
      <color theme="1"/>
      <name val="Times New Roman"/>
      <family val="1"/>
    </font>
    <font>
      <sz val="11"/>
      <name val="Calibri"/>
      <family val="2"/>
      <scheme val="minor"/>
    </font>
    <font>
      <sz val="11"/>
      <color theme="1"/>
      <name val="Times New Roman"/>
      <family val="1"/>
    </font>
    <font>
      <sz val="11"/>
      <color theme="1"/>
      <name val="Times New Roman"/>
      <family val="1"/>
    </font>
    <font>
      <sz val="11"/>
      <name val="Times New Roman"/>
      <family val="1"/>
    </font>
  </fonts>
  <fills count="1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4" tint="0.79998168889431442"/>
        <bgColor theme="8" tint="0.79998168889431442"/>
      </patternFill>
    </fill>
    <fill>
      <patternFill patternType="solid">
        <fgColor theme="0" tint="-4.9989318521683403E-2"/>
        <bgColor theme="8" tint="0.79998168889431442"/>
      </patternFill>
    </fill>
    <fill>
      <patternFill patternType="solid">
        <fgColor rgb="FF00B050"/>
        <bgColor indexed="64"/>
      </patternFill>
    </fill>
    <fill>
      <patternFill patternType="solid">
        <fgColor rgb="FF7030A0"/>
        <bgColor indexed="64"/>
      </patternFill>
    </fill>
    <fill>
      <patternFill patternType="solid">
        <fgColor theme="1"/>
        <bgColor indexed="64"/>
      </patternFill>
    </fill>
    <fill>
      <patternFill patternType="solid">
        <fgColor rgb="FF0070C0"/>
        <bgColor indexed="64"/>
      </patternFill>
    </fill>
    <fill>
      <patternFill patternType="solid">
        <fgColor rgb="FF002060"/>
        <bgColor indexed="64"/>
      </patternFill>
    </fill>
    <fill>
      <patternFill patternType="solid">
        <fgColor theme="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14999847407452621"/>
        <bgColor theme="4" tint="0.79998168889431442"/>
      </patternFill>
    </fill>
    <fill>
      <patternFill patternType="solid">
        <fgColor theme="4" tint="0.79998168889431442"/>
        <bgColor theme="4" tint="0.79998168889431442"/>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rgb="FF000000"/>
      </bottom>
      <diagonal/>
    </border>
    <border>
      <left/>
      <right/>
      <top/>
      <bottom style="thin">
        <color theme="4" tint="0.39997558519241921"/>
      </bottom>
      <diagonal/>
    </border>
    <border>
      <left/>
      <right/>
      <top style="thin">
        <color theme="4" tint="0.39997558519241921"/>
      </top>
      <bottom/>
      <diagonal/>
    </border>
  </borders>
  <cellStyleXfs count="8">
    <xf numFmtId="0" fontId="0" fillId="0" borderId="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xf numFmtId="0" fontId="11" fillId="0" borderId="0"/>
    <xf numFmtId="41" fontId="1" fillId="0" borderId="0" applyFont="0" applyFill="0" applyBorder="0" applyAlignment="0" applyProtection="0"/>
  </cellStyleXfs>
  <cellXfs count="246">
    <xf numFmtId="0" fontId="0" fillId="0" borderId="0" xfId="0"/>
    <xf numFmtId="0" fontId="0" fillId="2" borderId="0" xfId="0" applyFill="1"/>
    <xf numFmtId="0" fontId="5" fillId="0" borderId="0" xfId="0" applyFont="1" applyFill="1" applyBorder="1"/>
    <xf numFmtId="0" fontId="5" fillId="0" borderId="0" xfId="0" applyFont="1" applyFill="1" applyBorder="1" applyAlignment="1">
      <alignment vertical="top"/>
    </xf>
    <xf numFmtId="0" fontId="4" fillId="0" borderId="1" xfId="0" applyFont="1" applyFill="1" applyBorder="1" applyAlignment="1">
      <alignment horizontal="left" vertical="top"/>
    </xf>
    <xf numFmtId="0" fontId="5" fillId="0" borderId="0" xfId="0" applyFont="1" applyBorder="1"/>
    <xf numFmtId="0" fontId="5" fillId="0" borderId="0" xfId="0" applyFont="1" applyBorder="1" applyAlignment="1">
      <alignment horizontal="left"/>
    </xf>
    <xf numFmtId="43" fontId="5" fillId="0" borderId="0" xfId="1" applyFont="1" applyBorder="1"/>
    <xf numFmtId="0" fontId="5" fillId="3" borderId="0" xfId="0" applyFont="1" applyFill="1" applyBorder="1"/>
    <xf numFmtId="0" fontId="0" fillId="0" borderId="0" xfId="0" applyAlignment="1">
      <alignment horizontal="left"/>
    </xf>
    <xf numFmtId="0" fontId="0" fillId="0" borderId="0" xfId="0" applyNumberFormat="1" applyAlignment="1"/>
    <xf numFmtId="14" fontId="0" fillId="0" borderId="0" xfId="0" applyNumberFormat="1" applyAlignment="1"/>
    <xf numFmtId="43" fontId="0" fillId="0" borderId="0" xfId="1" applyFont="1" applyAlignment="1"/>
    <xf numFmtId="0" fontId="0" fillId="0" borderId="0" xfId="0" applyAlignment="1"/>
    <xf numFmtId="0" fontId="8" fillId="0" borderId="0" xfId="0" applyNumberFormat="1" applyFont="1" applyAlignment="1"/>
    <xf numFmtId="0" fontId="6" fillId="0" borderId="0" xfId="0" applyFont="1"/>
    <xf numFmtId="15" fontId="0" fillId="0" borderId="0" xfId="0" applyNumberFormat="1"/>
    <xf numFmtId="167" fontId="0" fillId="0" borderId="0" xfId="1" applyNumberFormat="1" applyFont="1"/>
    <xf numFmtId="0" fontId="8" fillId="0" borderId="0" xfId="0" applyFont="1"/>
    <xf numFmtId="0" fontId="5" fillId="0" borderId="0" xfId="0" applyFont="1" applyFill="1" applyBorder="1" applyAlignment="1">
      <alignment horizontal="left"/>
    </xf>
    <xf numFmtId="43" fontId="5" fillId="0" borderId="0" xfId="1" applyFont="1" applyFill="1" applyBorder="1"/>
    <xf numFmtId="0" fontId="5" fillId="0" borderId="0" xfId="0" quotePrefix="1" applyFont="1" applyFill="1" applyBorder="1"/>
    <xf numFmtId="0" fontId="2" fillId="0" borderId="0" xfId="0" applyFont="1" applyFill="1" applyBorder="1"/>
    <xf numFmtId="14" fontId="2" fillId="0" borderId="0" xfId="0" applyNumberFormat="1" applyFont="1" applyFill="1" applyBorder="1" applyAlignment="1">
      <alignment horizontal="left"/>
    </xf>
    <xf numFmtId="168" fontId="2" fillId="0" borderId="0" xfId="1" applyNumberFormat="1" applyFont="1" applyFill="1" applyBorder="1" applyAlignment="1">
      <alignment horizontal="left"/>
    </xf>
    <xf numFmtId="2" fontId="2" fillId="0" borderId="0" xfId="0" applyNumberFormat="1" applyFont="1" applyFill="1" applyBorder="1" applyAlignment="1">
      <alignment horizontal="left"/>
    </xf>
    <xf numFmtId="14" fontId="5" fillId="0" borderId="0" xfId="0" applyNumberFormat="1" applyFont="1" applyFill="1" applyBorder="1" applyAlignment="1">
      <alignment horizontal="left"/>
    </xf>
    <xf numFmtId="14" fontId="5" fillId="0" borderId="0" xfId="0" applyNumberFormat="1" applyFont="1" applyFill="1" applyBorder="1" applyAlignment="1">
      <alignment horizontal="left" vertical="center" wrapText="1"/>
    </xf>
    <xf numFmtId="43" fontId="2" fillId="0" borderId="0" xfId="1" applyFont="1" applyFill="1" applyBorder="1"/>
    <xf numFmtId="43" fontId="5" fillId="0" borderId="0" xfId="0" applyNumberFormat="1" applyFont="1" applyFill="1" applyBorder="1"/>
    <xf numFmtId="168" fontId="2" fillId="0" borderId="0" xfId="1" applyNumberFormat="1" applyFont="1" applyFill="1" applyBorder="1"/>
    <xf numFmtId="2" fontId="2" fillId="0" borderId="0" xfId="0" applyNumberFormat="1" applyFont="1" applyFill="1" applyBorder="1"/>
    <xf numFmtId="0" fontId="2" fillId="0" borderId="0" xfId="0" quotePrefix="1" applyFont="1" applyFill="1" applyBorder="1"/>
    <xf numFmtId="43" fontId="2" fillId="0" borderId="0" xfId="0" applyNumberFormat="1" applyFont="1" applyFill="1" applyBorder="1"/>
    <xf numFmtId="170" fontId="5" fillId="0" borderId="0" xfId="2" applyNumberFormat="1" applyFont="1" applyFill="1" applyBorder="1"/>
    <xf numFmtId="166" fontId="2" fillId="0" borderId="0" xfId="0" applyNumberFormat="1" applyFont="1" applyFill="1" applyBorder="1" applyAlignment="1">
      <alignment horizontal="left"/>
    </xf>
    <xf numFmtId="168" fontId="5" fillId="0" borderId="0" xfId="1" applyNumberFormat="1" applyFont="1" applyFill="1" applyBorder="1"/>
    <xf numFmtId="169" fontId="5" fillId="0" borderId="0" xfId="0" applyNumberFormat="1" applyFont="1" applyFill="1" applyBorder="1"/>
    <xf numFmtId="2" fontId="5" fillId="0" borderId="0" xfId="0" applyNumberFormat="1" applyFont="1" applyFill="1" applyBorder="1"/>
    <xf numFmtId="171" fontId="5" fillId="0" borderId="0" xfId="2" applyNumberFormat="1" applyFont="1" applyFill="1" applyBorder="1"/>
    <xf numFmtId="171" fontId="2" fillId="0" borderId="0" xfId="2" applyNumberFormat="1" applyFont="1" applyFill="1" applyBorder="1" applyAlignment="1">
      <alignment horizontal="left"/>
    </xf>
    <xf numFmtId="43" fontId="2" fillId="0" borderId="0" xfId="1" applyFont="1" applyFill="1" applyBorder="1" applyAlignment="1">
      <alignment horizontal="left"/>
    </xf>
    <xf numFmtId="43" fontId="2" fillId="0" borderId="0" xfId="0" applyNumberFormat="1" applyFont="1" applyFill="1" applyBorder="1" applyAlignment="1">
      <alignment horizontal="left"/>
    </xf>
    <xf numFmtId="166" fontId="5" fillId="0" borderId="0" xfId="0" applyNumberFormat="1" applyFont="1" applyFill="1" applyBorder="1" applyAlignment="1" applyProtection="1">
      <alignment horizontal="left" vertical="center" wrapText="1"/>
      <protection locked="0"/>
    </xf>
    <xf numFmtId="41" fontId="5" fillId="0" borderId="0" xfId="2" applyFont="1" applyFill="1" applyBorder="1"/>
    <xf numFmtId="41" fontId="2" fillId="0" borderId="0" xfId="2" applyFont="1" applyFill="1" applyBorder="1" applyAlignment="1">
      <alignment horizontal="left"/>
    </xf>
    <xf numFmtId="15" fontId="0" fillId="2" borderId="0" xfId="0" applyNumberFormat="1" applyFill="1"/>
    <xf numFmtId="167" fontId="0" fillId="2" borderId="0" xfId="1" applyNumberFormat="1" applyFont="1" applyFill="1"/>
    <xf numFmtId="43" fontId="5" fillId="2" borderId="0" xfId="1" applyFont="1" applyFill="1" applyBorder="1"/>
    <xf numFmtId="167" fontId="5" fillId="0" borderId="0" xfId="0" applyNumberFormat="1" applyFont="1" applyFill="1" applyBorder="1"/>
    <xf numFmtId="167" fontId="5" fillId="2" borderId="0" xfId="0" applyNumberFormat="1" applyFont="1" applyFill="1" applyBorder="1"/>
    <xf numFmtId="0" fontId="5" fillId="2" borderId="0" xfId="0" applyFont="1" applyFill="1" applyBorder="1"/>
    <xf numFmtId="167" fontId="9" fillId="0" borderId="0" xfId="0" applyNumberFormat="1" applyFont="1" applyFill="1" applyBorder="1"/>
    <xf numFmtId="43" fontId="9" fillId="0" borderId="0" xfId="1" applyFont="1" applyFill="1" applyBorder="1"/>
    <xf numFmtId="171" fontId="9" fillId="0" borderId="0" xfId="2" applyNumberFormat="1" applyFont="1" applyFill="1" applyBorder="1"/>
    <xf numFmtId="0" fontId="5" fillId="2" borderId="0" xfId="0" quotePrefix="1" applyFont="1" applyFill="1" applyBorder="1"/>
    <xf numFmtId="14" fontId="5" fillId="2" borderId="0" xfId="0" applyNumberFormat="1" applyFont="1" applyFill="1" applyBorder="1" applyAlignment="1">
      <alignment horizontal="left"/>
    </xf>
    <xf numFmtId="14" fontId="2" fillId="2" borderId="0" xfId="0" applyNumberFormat="1" applyFont="1" applyFill="1" applyBorder="1" applyAlignment="1">
      <alignment horizontal="left"/>
    </xf>
    <xf numFmtId="168" fontId="2" fillId="2" borderId="0" xfId="1" applyNumberFormat="1" applyFont="1" applyFill="1" applyBorder="1" applyAlignment="1">
      <alignment horizontal="left"/>
    </xf>
    <xf numFmtId="2" fontId="2" fillId="2" borderId="0" xfId="0" applyNumberFormat="1" applyFont="1" applyFill="1" applyBorder="1" applyAlignment="1">
      <alignment horizontal="left"/>
    </xf>
    <xf numFmtId="0" fontId="4" fillId="0" borderId="1" xfId="0" applyFont="1" applyFill="1" applyBorder="1" applyAlignment="1">
      <alignment vertical="top" wrapText="1"/>
    </xf>
    <xf numFmtId="0" fontId="4" fillId="0" borderId="1" xfId="0" applyFont="1" applyFill="1" applyBorder="1" applyAlignment="1">
      <alignment vertical="top"/>
    </xf>
    <xf numFmtId="43" fontId="4" fillId="0" borderId="1" xfId="1" applyFont="1" applyFill="1" applyBorder="1" applyAlignment="1">
      <alignment vertical="top"/>
    </xf>
    <xf numFmtId="0" fontId="4" fillId="4" borderId="1" xfId="0" applyFont="1" applyFill="1" applyBorder="1" applyAlignment="1">
      <alignment horizontal="center" vertical="top" wrapText="1"/>
    </xf>
    <xf numFmtId="0" fontId="4" fillId="0" borderId="1" xfId="0" applyFont="1" applyFill="1" applyBorder="1" applyAlignment="1">
      <alignment horizontal="center" vertical="top" wrapText="1"/>
    </xf>
    <xf numFmtId="173" fontId="0" fillId="0" borderId="0" xfId="0" applyNumberFormat="1"/>
    <xf numFmtId="0" fontId="10" fillId="0" borderId="0" xfId="0" applyFont="1"/>
    <xf numFmtId="0" fontId="0" fillId="0" borderId="0" xfId="0" applyFill="1"/>
    <xf numFmtId="0" fontId="0" fillId="0" borderId="0" xfId="0" applyFill="1" applyAlignment="1">
      <alignment vertical="top"/>
    </xf>
    <xf numFmtId="0" fontId="0" fillId="0" borderId="0" xfId="0" applyAlignment="1">
      <alignment vertical="top"/>
    </xf>
    <xf numFmtId="173" fontId="0" fillId="5" borderId="0" xfId="0" applyNumberFormat="1" applyFill="1" applyAlignment="1">
      <alignment vertical="top"/>
    </xf>
    <xf numFmtId="173" fontId="0" fillId="6" borderId="0" xfId="0" applyNumberFormat="1" applyFill="1" applyAlignment="1">
      <alignment vertical="top"/>
    </xf>
    <xf numFmtId="173" fontId="0" fillId="5" borderId="0" xfId="0" applyNumberFormat="1" applyFill="1"/>
    <xf numFmtId="173" fontId="0" fillId="6" borderId="0" xfId="0" applyNumberFormat="1" applyFill="1"/>
    <xf numFmtId="173" fontId="0" fillId="2" borderId="0" xfId="0" applyNumberFormat="1" applyFill="1" applyAlignment="1">
      <alignment wrapText="1"/>
    </xf>
    <xf numFmtId="0" fontId="0" fillId="2" borderId="0" xfId="0" applyFill="1" applyAlignment="1">
      <alignment vertical="top"/>
    </xf>
    <xf numFmtId="0" fontId="0" fillId="6" borderId="0" xfId="0" applyFill="1" applyAlignment="1">
      <alignment vertical="top"/>
    </xf>
    <xf numFmtId="0" fontId="0" fillId="5" borderId="0" xfId="0" applyFill="1" applyAlignment="1">
      <alignment vertical="top"/>
    </xf>
    <xf numFmtId="173" fontId="0" fillId="6" borderId="0" xfId="0" applyNumberFormat="1" applyFill="1" applyAlignment="1">
      <alignment horizontal="left"/>
    </xf>
    <xf numFmtId="0" fontId="10" fillId="0" borderId="0" xfId="0" applyFont="1" applyFill="1"/>
    <xf numFmtId="0" fontId="0" fillId="0" borderId="0" xfId="0" applyFill="1" applyAlignment="1">
      <alignment horizontal="left"/>
    </xf>
    <xf numFmtId="0" fontId="0" fillId="0" borderId="0" xfId="0" applyFill="1" applyAlignment="1">
      <alignment horizontal="left" vertical="top" indent="1"/>
    </xf>
    <xf numFmtId="173" fontId="0" fillId="2" borderId="0" xfId="0" applyNumberFormat="1" applyFill="1" applyAlignment="1">
      <alignment vertical="top" wrapText="1"/>
    </xf>
    <xf numFmtId="173" fontId="0" fillId="6" borderId="0" xfId="0" applyNumberFormat="1" applyFill="1" applyAlignment="1">
      <alignment horizontal="center" vertical="top" wrapText="1"/>
    </xf>
    <xf numFmtId="0" fontId="7" fillId="0" borderId="0" xfId="0" applyFont="1" applyFill="1" applyBorder="1" applyAlignment="1">
      <alignment horizontal="center" vertical="center"/>
    </xf>
    <xf numFmtId="2" fontId="4" fillId="0" borderId="0" xfId="0" applyNumberFormat="1" applyFont="1" applyFill="1" applyBorder="1" applyAlignment="1">
      <alignment horizontal="center" wrapText="1"/>
    </xf>
    <xf numFmtId="0" fontId="0" fillId="0" borderId="0" xfId="0" quotePrefix="1"/>
    <xf numFmtId="165" fontId="12" fillId="6" borderId="1" xfId="5" applyNumberFormat="1" applyFont="1" applyFill="1" applyBorder="1"/>
    <xf numFmtId="174" fontId="13" fillId="6" borderId="1" xfId="3" applyNumberFormat="1" applyFont="1" applyFill="1" applyBorder="1"/>
    <xf numFmtId="165" fontId="14" fillId="0" borderId="1" xfId="5" applyNumberFormat="1" applyFont="1" applyBorder="1"/>
    <xf numFmtId="165" fontId="15" fillId="0" borderId="1" xfId="3" applyFont="1" applyBorder="1"/>
    <xf numFmtId="165" fontId="13" fillId="0" borderId="1" xfId="3" applyFont="1" applyBorder="1"/>
    <xf numFmtId="165" fontId="14" fillId="0" borderId="1" xfId="5" quotePrefix="1" applyNumberFormat="1" applyFont="1" applyBorder="1"/>
    <xf numFmtId="0" fontId="13" fillId="0" borderId="1" xfId="0" applyFont="1" applyBorder="1"/>
    <xf numFmtId="0" fontId="15" fillId="0" borderId="0" xfId="0" applyFont="1"/>
    <xf numFmtId="174" fontId="15" fillId="0" borderId="0" xfId="3" applyNumberFormat="1" applyFont="1"/>
    <xf numFmtId="174" fontId="13" fillId="0" borderId="0" xfId="3" applyNumberFormat="1" applyFont="1"/>
    <xf numFmtId="165" fontId="16" fillId="0" borderId="0" xfId="3" applyFont="1"/>
    <xf numFmtId="165" fontId="8" fillId="0" borderId="0" xfId="3" applyFont="1"/>
    <xf numFmtId="0" fontId="14" fillId="0" borderId="0" xfId="6" applyFont="1"/>
    <xf numFmtId="165" fontId="14" fillId="2" borderId="1" xfId="5" applyNumberFormat="1" applyFont="1" applyFill="1" applyBorder="1"/>
    <xf numFmtId="165" fontId="15" fillId="2" borderId="1" xfId="3" applyFont="1" applyFill="1" applyBorder="1"/>
    <xf numFmtId="165" fontId="13" fillId="2" borderId="1" xfId="3" applyFont="1" applyFill="1" applyBorder="1"/>
    <xf numFmtId="0" fontId="0" fillId="0" borderId="0" xfId="0" pivotButton="1"/>
    <xf numFmtId="167" fontId="0" fillId="0" borderId="0" xfId="0" applyNumberFormat="1"/>
    <xf numFmtId="175" fontId="0" fillId="0" borderId="0" xfId="0" applyNumberFormat="1"/>
    <xf numFmtId="37" fontId="0" fillId="0" borderId="0" xfId="0" applyNumberFormat="1"/>
    <xf numFmtId="168" fontId="9" fillId="0" borderId="0" xfId="0" applyNumberFormat="1" applyFont="1" applyFill="1" applyBorder="1"/>
    <xf numFmtId="43" fontId="9" fillId="0" borderId="0" xfId="0" applyNumberFormat="1" applyFont="1" applyFill="1" applyBorder="1"/>
    <xf numFmtId="0" fontId="0" fillId="0" borderId="0" xfId="0" applyFont="1"/>
    <xf numFmtId="165" fontId="12" fillId="6" borderId="3" xfId="5" applyNumberFormat="1" applyFont="1" applyFill="1" applyBorder="1"/>
    <xf numFmtId="165" fontId="12" fillId="6" borderId="4" xfId="5" applyNumberFormat="1" applyFont="1" applyFill="1" applyBorder="1"/>
    <xf numFmtId="174" fontId="12" fillId="6" borderId="4" xfId="3" applyNumberFormat="1" applyFont="1" applyFill="1" applyBorder="1" applyAlignment="1">
      <alignment horizontal="center" wrapText="1"/>
    </xf>
    <xf numFmtId="174" fontId="12" fillId="5" borderId="4" xfId="3" applyNumberFormat="1" applyFont="1" applyFill="1" applyBorder="1" applyAlignment="1">
      <alignment horizontal="center" wrapText="1"/>
    </xf>
    <xf numFmtId="174" fontId="12" fillId="5" borderId="5" xfId="3" applyNumberFormat="1" applyFont="1" applyFill="1" applyBorder="1" applyAlignment="1">
      <alignment horizontal="center" wrapText="1"/>
    </xf>
    <xf numFmtId="165" fontId="14" fillId="0" borderId="6" xfId="5" applyNumberFormat="1" applyFont="1" applyBorder="1"/>
    <xf numFmtId="165" fontId="15" fillId="0" borderId="7" xfId="3" applyFont="1" applyBorder="1"/>
    <xf numFmtId="165" fontId="14" fillId="0" borderId="6" xfId="5" quotePrefix="1" applyNumberFormat="1" applyFont="1" applyBorder="1"/>
    <xf numFmtId="165" fontId="14" fillId="0" borderId="8" xfId="5" applyNumberFormat="1" applyFont="1" applyBorder="1"/>
    <xf numFmtId="165" fontId="14" fillId="0" borderId="2" xfId="5" applyNumberFormat="1" applyFont="1" applyBorder="1"/>
    <xf numFmtId="165" fontId="15" fillId="0" borderId="2" xfId="3" applyFont="1" applyBorder="1"/>
    <xf numFmtId="165" fontId="15" fillId="0" borderId="9" xfId="3" applyFont="1" applyBorder="1"/>
    <xf numFmtId="165" fontId="14" fillId="0" borderId="8" xfId="0" applyNumberFormat="1" applyFont="1" applyFill="1" applyBorder="1" applyAlignment="1" applyProtection="1"/>
    <xf numFmtId="165" fontId="14" fillId="0" borderId="2" xfId="0" applyNumberFormat="1" applyFont="1" applyFill="1" applyBorder="1" applyAlignment="1" applyProtection="1"/>
    <xf numFmtId="165" fontId="15" fillId="0" borderId="2" xfId="0" applyNumberFormat="1" applyFont="1" applyBorder="1"/>
    <xf numFmtId="165" fontId="15" fillId="0" borderId="9" xfId="0" applyNumberFormat="1" applyFont="1" applyBorder="1"/>
    <xf numFmtId="0" fontId="6" fillId="7" borderId="1" xfId="0" applyFont="1" applyFill="1" applyBorder="1" applyAlignment="1">
      <alignment horizontal="center" vertical="top" wrapText="1"/>
    </xf>
    <xf numFmtId="0" fontId="18" fillId="8" borderId="1" xfId="0" applyFont="1" applyFill="1" applyBorder="1" applyAlignment="1">
      <alignment horizontal="center" vertical="top" wrapText="1"/>
    </xf>
    <xf numFmtId="173" fontId="0" fillId="6" borderId="0" xfId="0" applyNumberFormat="1" applyFill="1" applyAlignment="1">
      <alignment horizontal="left" vertical="top" wrapText="1"/>
    </xf>
    <xf numFmtId="2" fontId="0" fillId="0" borderId="0" xfId="0" applyNumberFormat="1"/>
    <xf numFmtId="173" fontId="0" fillId="5" borderId="0" xfId="0" applyNumberFormat="1" applyFill="1" applyAlignment="1">
      <alignment horizontal="left" vertical="top"/>
    </xf>
    <xf numFmtId="173" fontId="0" fillId="6" borderId="0" xfId="0" applyNumberFormat="1" applyFill="1" applyAlignment="1">
      <alignment horizontal="left" vertical="top"/>
    </xf>
    <xf numFmtId="172" fontId="0" fillId="0" borderId="0" xfId="0" applyNumberFormat="1"/>
    <xf numFmtId="0" fontId="0" fillId="0" borderId="1" xfId="0" applyFill="1" applyBorder="1" applyAlignment="1">
      <alignment horizontal="center" vertical="top" wrapText="1"/>
    </xf>
    <xf numFmtId="0" fontId="0" fillId="0" borderId="0" xfId="0" applyAlignment="1">
      <alignment horizontal="center" wrapText="1"/>
    </xf>
    <xf numFmtId="41" fontId="20" fillId="0" borderId="1" xfId="2" applyFont="1" applyBorder="1"/>
    <xf numFmtId="0" fontId="4" fillId="2" borderId="1" xfId="0" applyFont="1" applyFill="1" applyBorder="1" applyAlignment="1">
      <alignment vertical="top" wrapText="1"/>
    </xf>
    <xf numFmtId="176" fontId="0" fillId="0" borderId="0" xfId="0" applyNumberFormat="1"/>
    <xf numFmtId="0" fontId="0" fillId="0" borderId="1" xfId="0" applyBorder="1"/>
    <xf numFmtId="0" fontId="17" fillId="13" borderId="1" xfId="0" applyFont="1" applyFill="1" applyBorder="1"/>
    <xf numFmtId="0" fontId="19" fillId="10" borderId="1" xfId="0" applyFont="1" applyFill="1" applyBorder="1"/>
    <xf numFmtId="0" fontId="19" fillId="11" borderId="1" xfId="0" applyFont="1" applyFill="1" applyBorder="1"/>
    <xf numFmtId="0" fontId="19" fillId="9" borderId="1" xfId="0" applyFont="1" applyFill="1" applyBorder="1"/>
    <xf numFmtId="0" fontId="0" fillId="2" borderId="1" xfId="0" applyFill="1" applyBorder="1"/>
    <xf numFmtId="0" fontId="21" fillId="3" borderId="1" xfId="0" applyFont="1" applyFill="1" applyBorder="1"/>
    <xf numFmtId="0" fontId="0" fillId="14" borderId="1" xfId="0" applyFill="1" applyBorder="1"/>
    <xf numFmtId="0" fontId="0" fillId="15" borderId="1" xfId="0" applyFill="1" applyBorder="1"/>
    <xf numFmtId="0" fontId="19" fillId="12" borderId="1" xfId="0" applyFont="1" applyFill="1" applyBorder="1"/>
    <xf numFmtId="0" fontId="0" fillId="0" borderId="0" xfId="0" applyNumberFormat="1"/>
    <xf numFmtId="178" fontId="0" fillId="0" borderId="0" xfId="0" applyNumberFormat="1"/>
    <xf numFmtId="43" fontId="0" fillId="0" borderId="0" xfId="1" applyFont="1"/>
    <xf numFmtId="0" fontId="0" fillId="0" borderId="0" xfId="0" quotePrefix="1" applyNumberFormat="1"/>
    <xf numFmtId="14" fontId="2" fillId="16" borderId="0" xfId="0" applyNumberFormat="1" applyFont="1" applyFill="1" applyBorder="1" applyAlignment="1">
      <alignment horizontal="left" vertical="center"/>
    </xf>
    <xf numFmtId="171" fontId="2" fillId="17" borderId="0" xfId="7" applyNumberFormat="1" applyFont="1" applyFill="1" applyBorder="1" applyAlignment="1">
      <alignment horizontal="center" vertical="center"/>
    </xf>
    <xf numFmtId="177" fontId="0" fillId="0" borderId="0" xfId="0" applyNumberFormat="1"/>
    <xf numFmtId="0" fontId="0" fillId="2" borderId="0" xfId="0" applyFill="1" applyAlignment="1">
      <alignment horizontal="left" vertical="top" indent="1"/>
    </xf>
    <xf numFmtId="0" fontId="5" fillId="0" borderId="0" xfId="0" applyNumberFormat="1" applyFont="1" applyFill="1" applyBorder="1"/>
    <xf numFmtId="0" fontId="4" fillId="0" borderId="10" xfId="0" applyFont="1" applyFill="1" applyBorder="1" applyAlignment="1">
      <alignment vertical="top" wrapText="1"/>
    </xf>
    <xf numFmtId="43" fontId="0" fillId="0" borderId="0" xfId="0" applyNumberFormat="1"/>
    <xf numFmtId="3" fontId="0" fillId="0" borderId="1" xfId="1" applyNumberFormat="1" applyFont="1" applyBorder="1"/>
    <xf numFmtId="0" fontId="0" fillId="0" borderId="0" xfId="0" applyAlignment="1">
      <alignment horizontal="left" vertical="center"/>
    </xf>
    <xf numFmtId="0" fontId="0" fillId="0" borderId="0" xfId="0" applyAlignment="1">
      <alignment horizontal="left" vertical="top"/>
    </xf>
    <xf numFmtId="0" fontId="6" fillId="0" borderId="0" xfId="0" applyFont="1" applyAlignment="1">
      <alignment horizontal="left"/>
    </xf>
    <xf numFmtId="2" fontId="4" fillId="0" borderId="2" xfId="0" applyNumberFormat="1" applyFont="1" applyFill="1" applyBorder="1" applyAlignment="1">
      <alignment horizontal="center" wrapText="1"/>
    </xf>
    <xf numFmtId="0" fontId="7" fillId="0" borderId="0" xfId="0" applyFont="1" applyFill="1" applyBorder="1" applyAlignment="1">
      <alignment horizontal="center" vertical="center"/>
    </xf>
    <xf numFmtId="2" fontId="4" fillId="0" borderId="0" xfId="0" applyNumberFormat="1" applyFont="1" applyFill="1" applyBorder="1" applyAlignment="1">
      <alignment horizontal="center" wrapText="1"/>
    </xf>
    <xf numFmtId="2" fontId="4" fillId="4" borderId="2" xfId="0" applyNumberFormat="1" applyFont="1" applyFill="1" applyBorder="1" applyAlignment="1">
      <alignment horizontal="center" wrapText="1"/>
    </xf>
    <xf numFmtId="0" fontId="6" fillId="18" borderId="11" xfId="0" applyFont="1" applyFill="1" applyBorder="1"/>
    <xf numFmtId="0" fontId="6" fillId="18" borderId="12" xfId="0" applyFont="1" applyFill="1" applyBorder="1"/>
    <xf numFmtId="2" fontId="6" fillId="18" borderId="12" xfId="0" applyNumberFormat="1" applyFont="1" applyFill="1" applyBorder="1"/>
    <xf numFmtId="43" fontId="6" fillId="0" borderId="0" xfId="1" applyFont="1"/>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5" fillId="0" borderId="1" xfId="0" applyFont="1" applyFill="1" applyBorder="1" applyAlignment="1">
      <alignment horizontal="left"/>
    </xf>
    <xf numFmtId="43" fontId="5" fillId="0" borderId="1" xfId="1" applyFont="1" applyFill="1" applyBorder="1"/>
    <xf numFmtId="0" fontId="5" fillId="0" borderId="1" xfId="0" applyFont="1" applyFill="1" applyBorder="1"/>
    <xf numFmtId="2" fontId="4" fillId="0" borderId="1" xfId="0" applyNumberFormat="1" applyFont="1" applyFill="1" applyBorder="1" applyAlignment="1">
      <alignment horizontal="center" wrapText="1"/>
    </xf>
    <xf numFmtId="2" fontId="4" fillId="0" borderId="1" xfId="0" applyNumberFormat="1" applyFont="1" applyFill="1" applyBorder="1" applyAlignment="1">
      <alignment horizontal="center" wrapText="1"/>
    </xf>
    <xf numFmtId="2" fontId="4" fillId="4" borderId="1" xfId="0" applyNumberFormat="1" applyFont="1" applyFill="1" applyBorder="1" applyAlignment="1">
      <alignment horizontal="center" wrapText="1"/>
    </xf>
    <xf numFmtId="0" fontId="5" fillId="0" borderId="1" xfId="0" applyFont="1" applyFill="1" applyBorder="1" applyAlignment="1">
      <alignment vertical="top"/>
    </xf>
    <xf numFmtId="0" fontId="2" fillId="0" borderId="1" xfId="0" quotePrefix="1" applyFont="1" applyFill="1" applyBorder="1"/>
    <xf numFmtId="0" fontId="2" fillId="0" borderId="1" xfId="0" applyFont="1" applyFill="1" applyBorder="1"/>
    <xf numFmtId="14" fontId="2" fillId="0" borderId="1" xfId="0" applyNumberFormat="1" applyFont="1" applyFill="1" applyBorder="1" applyAlignment="1">
      <alignment horizontal="left"/>
    </xf>
    <xf numFmtId="168" fontId="2" fillId="0" borderId="1" xfId="1" applyNumberFormat="1" applyFont="1" applyFill="1" applyBorder="1" applyAlignment="1">
      <alignment horizontal="left"/>
    </xf>
    <xf numFmtId="2" fontId="2" fillId="0" borderId="1" xfId="0" applyNumberFormat="1" applyFont="1" applyFill="1" applyBorder="1" applyAlignment="1">
      <alignment horizontal="left"/>
    </xf>
    <xf numFmtId="43" fontId="2" fillId="0" borderId="1" xfId="1" applyFont="1" applyFill="1" applyBorder="1"/>
    <xf numFmtId="43" fontId="2" fillId="0" borderId="1" xfId="0" applyNumberFormat="1" applyFont="1" applyFill="1" applyBorder="1"/>
    <xf numFmtId="167" fontId="2" fillId="0" borderId="1" xfId="0" applyNumberFormat="1" applyFont="1" applyFill="1" applyBorder="1"/>
    <xf numFmtId="14" fontId="5" fillId="0" borderId="1" xfId="0" applyNumberFormat="1" applyFont="1" applyFill="1" applyBorder="1" applyAlignment="1">
      <alignment horizontal="left"/>
    </xf>
    <xf numFmtId="43" fontId="9" fillId="0" borderId="1" xfId="1" applyFont="1" applyFill="1" applyBorder="1"/>
    <xf numFmtId="43" fontId="9" fillId="0" borderId="1" xfId="0" applyNumberFormat="1" applyFont="1" applyFill="1" applyBorder="1"/>
    <xf numFmtId="167" fontId="5" fillId="0" borderId="1" xfId="0" applyNumberFormat="1" applyFont="1" applyFill="1" applyBorder="1"/>
    <xf numFmtId="168" fontId="9" fillId="0" borderId="1" xfId="0" applyNumberFormat="1" applyFont="1" applyFill="1" applyBorder="1"/>
    <xf numFmtId="167" fontId="9" fillId="0" borderId="1" xfId="0" applyNumberFormat="1" applyFont="1" applyFill="1" applyBorder="1"/>
    <xf numFmtId="170" fontId="5" fillId="0" borderId="1" xfId="2" applyNumberFormat="1" applyFont="1" applyFill="1" applyBorder="1"/>
    <xf numFmtId="166" fontId="2" fillId="0" borderId="1" xfId="0" applyNumberFormat="1" applyFont="1" applyFill="1" applyBorder="1" applyAlignment="1">
      <alignment horizontal="left"/>
    </xf>
    <xf numFmtId="171" fontId="5" fillId="0" borderId="1" xfId="2" applyNumberFormat="1" applyFont="1" applyFill="1" applyBorder="1"/>
    <xf numFmtId="43" fontId="2" fillId="0" borderId="1" xfId="1" applyFont="1" applyFill="1" applyBorder="1" applyAlignment="1">
      <alignment horizontal="left"/>
    </xf>
    <xf numFmtId="168" fontId="2" fillId="0" borderId="1" xfId="1" applyNumberFormat="1" applyFont="1" applyFill="1" applyBorder="1"/>
    <xf numFmtId="2" fontId="2" fillId="0" borderId="1" xfId="0" applyNumberFormat="1" applyFont="1" applyFill="1" applyBorder="1"/>
    <xf numFmtId="2" fontId="5" fillId="0" borderId="1" xfId="0" applyNumberFormat="1" applyFont="1" applyFill="1" applyBorder="1"/>
    <xf numFmtId="14" fontId="5" fillId="0" borderId="1" xfId="0" applyNumberFormat="1" applyFont="1" applyFill="1" applyBorder="1" applyAlignment="1">
      <alignment horizontal="left" vertical="center" wrapText="1"/>
    </xf>
    <xf numFmtId="43" fontId="5" fillId="0" borderId="1" xfId="0" applyNumberFormat="1" applyFont="1" applyFill="1" applyBorder="1"/>
    <xf numFmtId="0" fontId="5" fillId="0" borderId="1" xfId="0" quotePrefix="1" applyFont="1" applyFill="1" applyBorder="1"/>
    <xf numFmtId="168" fontId="5" fillId="0" borderId="1" xfId="1" applyNumberFormat="1" applyFont="1" applyFill="1" applyBorder="1"/>
    <xf numFmtId="169" fontId="5" fillId="0" borderId="1" xfId="0" applyNumberFormat="1" applyFont="1" applyFill="1" applyBorder="1"/>
    <xf numFmtId="171" fontId="2" fillId="0" borderId="1" xfId="2" applyNumberFormat="1" applyFont="1" applyFill="1" applyBorder="1" applyAlignment="1">
      <alignment horizontal="left"/>
    </xf>
    <xf numFmtId="171" fontId="9" fillId="0" borderId="1" xfId="2" applyNumberFormat="1" applyFont="1" applyFill="1" applyBorder="1"/>
    <xf numFmtId="43" fontId="2" fillId="0" borderId="1" xfId="0" applyNumberFormat="1" applyFont="1" applyFill="1" applyBorder="1" applyAlignment="1">
      <alignment horizontal="left"/>
    </xf>
    <xf numFmtId="166" fontId="5" fillId="0" borderId="1" xfId="0" applyNumberFormat="1" applyFont="1" applyFill="1" applyBorder="1" applyAlignment="1" applyProtection="1">
      <alignment horizontal="left" vertical="center" wrapText="1"/>
      <protection locked="0"/>
    </xf>
    <xf numFmtId="0" fontId="5" fillId="2" borderId="1" xfId="0" applyFont="1" applyFill="1" applyBorder="1"/>
    <xf numFmtId="14" fontId="5" fillId="2" borderId="1" xfId="0" applyNumberFormat="1" applyFont="1" applyFill="1" applyBorder="1" applyAlignment="1">
      <alignment horizontal="left"/>
    </xf>
    <xf numFmtId="14" fontId="2" fillId="2" borderId="1" xfId="0" applyNumberFormat="1" applyFont="1" applyFill="1" applyBorder="1" applyAlignment="1">
      <alignment horizontal="left"/>
    </xf>
    <xf numFmtId="168" fontId="2" fillId="2" borderId="1" xfId="1" applyNumberFormat="1" applyFont="1" applyFill="1" applyBorder="1" applyAlignment="1">
      <alignment horizontal="left"/>
    </xf>
    <xf numFmtId="2" fontId="2" fillId="2" borderId="1" xfId="0" applyNumberFormat="1" applyFont="1" applyFill="1" applyBorder="1" applyAlignment="1">
      <alignment horizontal="left"/>
    </xf>
    <xf numFmtId="43" fontId="5" fillId="2" borderId="1" xfId="1" applyFont="1" applyFill="1" applyBorder="1"/>
    <xf numFmtId="167" fontId="5" fillId="2" borderId="1" xfId="0" applyNumberFormat="1" applyFont="1" applyFill="1" applyBorder="1"/>
    <xf numFmtId="14" fontId="2" fillId="16" borderId="1" xfId="0" applyNumberFormat="1" applyFont="1" applyFill="1" applyBorder="1" applyAlignment="1">
      <alignment horizontal="left" vertical="center"/>
    </xf>
    <xf numFmtId="171" fontId="2" fillId="17" borderId="1" xfId="7" applyNumberFormat="1" applyFont="1" applyFill="1" applyBorder="1" applyAlignment="1">
      <alignment horizontal="center" vertical="center"/>
    </xf>
    <xf numFmtId="41" fontId="5" fillId="0" borderId="1" xfId="2" applyFont="1" applyFill="1" applyBorder="1"/>
    <xf numFmtId="41" fontId="2" fillId="0" borderId="1" xfId="2" applyFont="1" applyFill="1" applyBorder="1" applyAlignment="1">
      <alignment horizontal="left"/>
    </xf>
    <xf numFmtId="0" fontId="22" fillId="0" borderId="1" xfId="0" applyNumberFormat="1" applyFont="1" applyFill="1" applyBorder="1"/>
    <xf numFmtId="0" fontId="22" fillId="0" borderId="1" xfId="0" applyFont="1" applyFill="1" applyBorder="1"/>
    <xf numFmtId="0" fontId="22" fillId="0" borderId="1" xfId="0" quotePrefix="1" applyFont="1" applyFill="1" applyBorder="1"/>
    <xf numFmtId="43" fontId="22" fillId="0" borderId="1" xfId="1" applyFont="1" applyFill="1" applyBorder="1"/>
    <xf numFmtId="43" fontId="22" fillId="2" borderId="1" xfId="1" applyNumberFormat="1" applyFont="1" applyFill="1" applyBorder="1"/>
    <xf numFmtId="43" fontId="0" fillId="0" borderId="1" xfId="1" applyFont="1" applyBorder="1"/>
    <xf numFmtId="43" fontId="22" fillId="0" borderId="1" xfId="0" applyNumberFormat="1" applyFont="1" applyFill="1" applyBorder="1"/>
    <xf numFmtId="2" fontId="22" fillId="0" borderId="1" xfId="0" applyNumberFormat="1" applyFont="1" applyFill="1" applyBorder="1"/>
    <xf numFmtId="171" fontId="22" fillId="0" borderId="1" xfId="7" applyNumberFormat="1" applyFont="1" applyFill="1" applyBorder="1"/>
    <xf numFmtId="41" fontId="22" fillId="0" borderId="1" xfId="2" quotePrefix="1" applyFont="1" applyFill="1" applyBorder="1"/>
    <xf numFmtId="41" fontId="22" fillId="0" borderId="1" xfId="2" applyFont="1" applyFill="1" applyBorder="1"/>
    <xf numFmtId="0" fontId="22" fillId="0" borderId="1" xfId="2" applyNumberFormat="1" applyFont="1" applyFill="1" applyBorder="1"/>
    <xf numFmtId="0" fontId="23" fillId="0" borderId="1" xfId="0" applyFont="1" applyFill="1" applyBorder="1"/>
    <xf numFmtId="0" fontId="23" fillId="0" borderId="1" xfId="0" applyNumberFormat="1" applyFont="1" applyFill="1" applyBorder="1"/>
    <xf numFmtId="179" fontId="24" fillId="0" borderId="1" xfId="0" applyNumberFormat="1" applyFont="1" applyFill="1" applyBorder="1" applyAlignment="1">
      <alignment horizontal="left"/>
    </xf>
    <xf numFmtId="43" fontId="23" fillId="0" borderId="1" xfId="0" applyNumberFormat="1" applyFont="1" applyFill="1" applyBorder="1"/>
    <xf numFmtId="43" fontId="23" fillId="2" borderId="1" xfId="0" applyNumberFormat="1" applyFont="1" applyFill="1" applyBorder="1"/>
    <xf numFmtId="167" fontId="23" fillId="0" borderId="1" xfId="0" applyNumberFormat="1" applyFont="1" applyFill="1" applyBorder="1"/>
    <xf numFmtId="0" fontId="5" fillId="0" borderId="1" xfId="0" applyFont="1" applyBorder="1"/>
    <xf numFmtId="0" fontId="5" fillId="0" borderId="1" xfId="0" applyFont="1" applyBorder="1" applyAlignment="1">
      <alignment horizontal="left"/>
    </xf>
    <xf numFmtId="43" fontId="5" fillId="0" borderId="1" xfId="1" applyFont="1" applyBorder="1"/>
    <xf numFmtId="0" fontId="5" fillId="3" borderId="1" xfId="0" applyFont="1" applyFill="1" applyBorder="1"/>
    <xf numFmtId="43" fontId="6" fillId="12" borderId="1" xfId="1" applyFont="1" applyFill="1" applyBorder="1"/>
    <xf numFmtId="180" fontId="0" fillId="0" borderId="1" xfId="1" applyNumberFormat="1" applyFont="1" applyBorder="1"/>
    <xf numFmtId="180" fontId="0" fillId="0" borderId="1" xfId="0" applyNumberFormat="1" applyBorder="1"/>
  </cellXfs>
  <cellStyles count="8">
    <cellStyle name="Comma" xfId="1" builtinId="3"/>
    <cellStyle name="Comma [0]" xfId="7" builtinId="6"/>
    <cellStyle name="Comma [0] 2" xfId="4"/>
    <cellStyle name="Comma [0] 3" xfId="2"/>
    <cellStyle name="Comma 2" xfId="3"/>
    <cellStyle name="Normal" xfId="0" builtinId="0"/>
    <cellStyle name="Normal 2 10" xfId="6"/>
    <cellStyle name="Normal 3" xfId="5"/>
  </cellStyles>
  <dxfs count="435">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35" formatCode="_-* #,##0.00_-;\-* #,##0.0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35" formatCode="_-* #,##0.00_-;\-* #,##0.00_-;_-* &quot;-&quot;??_-;_-@_-"/>
      <fill>
        <patternFill patternType="solid">
          <fgColor indexed="64"/>
          <bgColor rgb="FFFFFF0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35" formatCode="_-* #,##0.00_-;\-* #,##0.0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35" formatCode="_-* #,##0.00_-;\-* #,##0.0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35" formatCode="_-* #,##0.00_-;\-* #,##0.00_-;_-* &quot;-&quot;??_-;_-@_-"/>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79" formatCode="m/d/yyyy"/>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79" formatCode="m/d/yyyy"/>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Times New Roman"/>
        <scheme val="none"/>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numFmt numFmtId="35" formatCode="_-* #,##0.00_-;\-* #,##0.00_-;_-* &quot;-&quot;??_-;_-@_-"/>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imes New Roman"/>
        <scheme val="none"/>
      </font>
      <numFmt numFmtId="179" formatCode="m/d/yyyy"/>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imes New Roman"/>
        <scheme val="none"/>
      </font>
      <numFmt numFmtId="179" formatCode="m/d/yyyy"/>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font>
        <color rgb="FFFF0000"/>
      </font>
    </dxf>
    <dxf>
      <font>
        <color theme="0"/>
      </font>
      <fill>
        <patternFill>
          <bgColor rgb="FF00B050"/>
        </patternFill>
      </fill>
    </dxf>
    <dxf>
      <font>
        <color theme="0"/>
      </font>
      <fill>
        <patternFill>
          <bgColor rgb="FFFF0000"/>
        </patternFill>
      </fill>
    </dxf>
    <dxf>
      <font>
        <color theme="0"/>
      </font>
      <fill>
        <patternFill>
          <bgColor rgb="FFFF000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alignment horizontal="center"/>
    </dxf>
    <dxf>
      <alignment vertical="top"/>
    </dxf>
    <dxf>
      <alignment vertical="top"/>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top"/>
    </dxf>
    <dxf>
      <alignment vertical="top"/>
    </dxf>
    <dxf>
      <alignment vertical="top"/>
    </dxf>
    <dxf>
      <alignment vertical="top"/>
    </dxf>
    <dxf>
      <alignment vertical="top"/>
    </dxf>
    <dxf>
      <alignment vertical="top"/>
    </dxf>
    <dxf>
      <alignment vertical="top"/>
    </dxf>
    <dxf>
      <fill>
        <patternFill>
          <bgColor rgb="FFFFFF00"/>
        </patternFill>
      </fill>
    </dxf>
    <dxf>
      <fill>
        <patternFill>
          <bgColor rgb="FFFFFF00"/>
        </patternFill>
      </fill>
    </dxf>
    <dxf>
      <fill>
        <patternFill>
          <bgColor theme="2" tint="-9.9978637043366805E-2"/>
        </patternFill>
      </fill>
    </dxf>
    <dxf>
      <fill>
        <patternFill>
          <bgColor theme="2" tint="-9.9978637043366805E-2"/>
        </patternFill>
      </fill>
    </dxf>
    <dxf>
      <fill>
        <patternFill patternType="solid">
          <bgColor theme="5" tint="0.79998168889431442"/>
        </patternFill>
      </fill>
    </dxf>
    <dxf>
      <fill>
        <patternFill patternType="solid">
          <bgColor theme="5" tint="0.7999816888943144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5" tint="0.79998168889431442"/>
        </patternFill>
      </fill>
    </dxf>
    <dxf>
      <fill>
        <patternFill patternType="solid">
          <bgColor theme="5"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dxf>
    <dxf>
      <alignment horizontal="center"/>
    </dxf>
    <dxf>
      <numFmt numFmtId="173" formatCode="0.00,,,"/>
    </dxf>
    <dxf>
      <numFmt numFmtId="172" formatCode="0,,,"/>
    </dxf>
    <dxf>
      <alignment wrapText="1"/>
    </dxf>
    <dxf>
      <alignment wrapText="0"/>
    </dxf>
    <dxf>
      <alignment vertical="top"/>
    </dxf>
    <dxf>
      <alignment vertical="top"/>
    </dxf>
    <dxf>
      <alignment vertical="top"/>
    </dxf>
    <dxf>
      <alignment vertical="top"/>
    </dxf>
    <dxf>
      <alignment vertical="top"/>
    </dxf>
    <dxf>
      <alignment vertical="top"/>
    </dxf>
    <dxf>
      <alignment vertical="top"/>
    </dxf>
    <dxf>
      <fill>
        <patternFill>
          <bgColor rgb="FFFFFF00"/>
        </patternFill>
      </fill>
    </dxf>
    <dxf>
      <fill>
        <patternFill>
          <bgColor rgb="FFFFFF00"/>
        </patternFill>
      </fill>
    </dxf>
    <dxf>
      <fill>
        <patternFill>
          <bgColor theme="2" tint="-9.9978637043366805E-2"/>
        </patternFill>
      </fill>
    </dxf>
    <dxf>
      <fill>
        <patternFill>
          <bgColor theme="2" tint="-9.9978637043366805E-2"/>
        </patternFill>
      </fill>
    </dxf>
    <dxf>
      <fill>
        <patternFill patternType="solid">
          <bgColor theme="5" tint="0.79998168889431442"/>
        </patternFill>
      </fill>
    </dxf>
    <dxf>
      <fill>
        <patternFill patternType="solid">
          <bgColor theme="5" tint="0.7999816888943144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5" tint="0.79998168889431442"/>
        </patternFill>
      </fill>
    </dxf>
    <dxf>
      <fill>
        <patternFill patternType="solid">
          <bgColor theme="5"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dxf>
    <dxf>
      <alignment horizontal="center"/>
    </dxf>
    <dxf>
      <numFmt numFmtId="173" formatCode="0.00,,,"/>
    </dxf>
    <dxf>
      <numFmt numFmtId="172" formatCode="0,,,"/>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wrapText="1"/>
    </dxf>
    <dxf>
      <alignment horizontal="center"/>
    </dxf>
    <dxf>
      <alignment wrapText="1"/>
    </dxf>
    <dxf>
      <alignment horizontal="left"/>
    </dxf>
    <dxf>
      <alignment vertical="top"/>
    </dxf>
    <dxf>
      <alignment vertical="top"/>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top"/>
    </dxf>
    <dxf>
      <alignment vertical="top"/>
    </dxf>
    <dxf>
      <alignment vertical="top"/>
    </dxf>
    <dxf>
      <alignment vertical="top"/>
    </dxf>
    <dxf>
      <alignment vertical="top"/>
    </dxf>
    <dxf>
      <fill>
        <patternFill>
          <bgColor theme="2" tint="-9.9978637043366805E-2"/>
        </patternFill>
      </fill>
    </dxf>
    <dxf>
      <fill>
        <patternFill>
          <bgColor theme="2" tint="-9.9978637043366805E-2"/>
        </patternFill>
      </fill>
    </dxf>
    <dxf>
      <fill>
        <patternFill patternType="solid">
          <bgColor theme="5" tint="0.79998168889431442"/>
        </patternFill>
      </fill>
    </dxf>
    <dxf>
      <fill>
        <patternFill patternType="solid">
          <bgColor theme="5" tint="0.79998168889431442"/>
        </patternFill>
      </fill>
    </dxf>
    <dxf>
      <fill>
        <patternFill patternType="solid">
          <bgColor theme="2" tint="-9.9978637043366805E-2"/>
        </patternFill>
      </fill>
    </dxf>
    <dxf>
      <fill>
        <patternFill patternType="solid">
          <bgColor theme="2" tint="-9.9978637043366805E-2"/>
        </patternFill>
      </fill>
    </dxf>
    <dxf>
      <fill>
        <patternFill patternType="solid">
          <bgColor theme="5" tint="0.79998168889431442"/>
        </patternFill>
      </fill>
    </dxf>
    <dxf>
      <fill>
        <patternFill patternType="solid">
          <bgColor theme="5" tint="0.79998168889431442"/>
        </patternFill>
      </fill>
    </dxf>
    <dxf>
      <fill>
        <patternFill patternType="solid">
          <bgColor theme="8" tint="0.79998168889431442"/>
        </patternFill>
      </fill>
    </dxf>
    <dxf>
      <fill>
        <patternFill patternType="solid">
          <bgColor theme="8"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dxf>
    <dxf>
      <alignment horizontal="center"/>
    </dxf>
    <dxf>
      <numFmt numFmtId="173" formatCode="0.00,,,"/>
    </dxf>
    <dxf>
      <numFmt numFmtId="172" formatCode="0,,,"/>
    </dxf>
    <dxf>
      <alignment wrapText="1"/>
    </dxf>
    <dxf>
      <alignment horizontal="center"/>
    </dxf>
    <dxf>
      <alignment wrapText="1"/>
    </dxf>
    <dxf>
      <alignment horizontal="center"/>
    </dxf>
    <dxf>
      <alignment wrapText="1"/>
    </dxf>
    <dxf>
      <alignment horizontal="center"/>
    </dxf>
    <dxf>
      <alignment vertical="top"/>
    </dxf>
    <dxf>
      <alignment vertical="top"/>
    </dxf>
    <dxf>
      <alignment wrapText="1"/>
    </dxf>
    <dxf>
      <fill>
        <patternFill patternType="none">
          <bgColor auto="1"/>
        </patternFill>
      </fill>
    </dxf>
    <dxf>
      <fill>
        <patternFill patternType="none">
          <bgColor auto="1"/>
        </patternFill>
      </fill>
    </dxf>
    <dxf>
      <alignment vertical="top"/>
    </dxf>
    <dxf>
      <fill>
        <patternFill>
          <bgColor rgb="FFFFFF00"/>
        </patternFill>
      </fill>
    </dxf>
    <dxf>
      <fill>
        <patternFill>
          <bgColor theme="2" tint="-9.9978637043366805E-2"/>
        </patternFill>
      </fill>
    </dxf>
    <dxf>
      <fill>
        <patternFill patternType="solid">
          <bgColor theme="8"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dxf>
    <dxf>
      <alignment horizontal="center"/>
    </dxf>
    <dxf>
      <numFmt numFmtId="173" formatCode="0.00,,,"/>
    </dxf>
    <dxf>
      <numFmt numFmtId="172" formatCode="0,,,"/>
    </dxf>
    <dxf>
      <alignment wrapText="1"/>
    </dxf>
    <dxf>
      <font>
        <b val="0"/>
        <i val="0"/>
        <strike val="0"/>
        <condense val="0"/>
        <extend val="0"/>
        <outline val="0"/>
        <shadow val="0"/>
        <u val="none"/>
        <vertAlign val="baseline"/>
        <sz val="11"/>
        <color theme="1"/>
        <name val="Times New Roman"/>
        <scheme val="none"/>
      </font>
      <fill>
        <patternFill patternType="none">
          <fgColor indexed="64"/>
          <bgColor auto="1"/>
        </patternFill>
      </fill>
    </dxf>
    <dxf>
      <font>
        <b val="0"/>
        <i val="0"/>
        <strike val="0"/>
        <condense val="0"/>
        <extend val="0"/>
        <outline val="0"/>
        <shadow val="0"/>
        <u val="none"/>
        <vertAlign val="baseline"/>
        <sz val="11"/>
        <color theme="1"/>
        <name val="Times New Roman"/>
        <scheme val="none"/>
      </font>
      <numFmt numFmtId="167" formatCode="_-* #,##0_-;\-* #,##0_-;_-* &quot;-&quot;??_-;_-@_-"/>
      <fill>
        <patternFill patternType="none">
          <fgColor indexed="64"/>
          <bgColor auto="1"/>
        </patternFill>
      </fill>
    </dxf>
    <dxf>
      <font>
        <b val="0"/>
        <i val="0"/>
        <strike val="0"/>
        <condense val="0"/>
        <extend val="0"/>
        <outline val="0"/>
        <shadow val="0"/>
        <u val="none"/>
        <vertAlign val="baseline"/>
        <sz val="11"/>
        <color theme="1"/>
        <name val="Times New Roman"/>
        <scheme val="none"/>
      </font>
      <fill>
        <patternFill patternType="none">
          <fgColor indexed="64"/>
          <bgColor auto="1"/>
        </patternFill>
      </fill>
    </dxf>
    <dxf>
      <font>
        <b val="0"/>
        <i val="0"/>
        <strike val="0"/>
        <condense val="0"/>
        <extend val="0"/>
        <outline val="0"/>
        <shadow val="0"/>
        <u val="none"/>
        <vertAlign val="baseline"/>
        <sz val="11"/>
        <color theme="1"/>
        <name val="Times New Roman"/>
        <scheme val="none"/>
      </font>
      <fill>
        <patternFill patternType="none">
          <fgColor indexed="64"/>
          <bgColor auto="1"/>
        </patternFill>
      </fill>
    </dxf>
    <dxf>
      <font>
        <b val="0"/>
        <i val="0"/>
        <strike val="0"/>
        <condense val="0"/>
        <extend val="0"/>
        <outline val="0"/>
        <shadow val="0"/>
        <u val="none"/>
        <vertAlign val="baseline"/>
        <sz val="11"/>
        <color theme="1"/>
        <name val="Times New Roman"/>
        <scheme val="none"/>
      </font>
      <fill>
        <patternFill patternType="none">
          <fgColor indexed="64"/>
          <bgColor auto="1"/>
        </patternFill>
      </fill>
    </dxf>
    <dxf>
      <font>
        <b val="0"/>
        <i val="0"/>
        <strike val="0"/>
        <condense val="0"/>
        <extend val="0"/>
        <outline val="0"/>
        <shadow val="0"/>
        <u val="none"/>
        <vertAlign val="baseline"/>
        <sz val="11"/>
        <color theme="1"/>
        <name val="Times New Roman"/>
        <scheme val="none"/>
      </font>
      <fill>
        <patternFill patternType="none">
          <fgColor indexed="64"/>
          <bgColor auto="1"/>
        </patternFill>
      </fill>
    </dxf>
    <dxf>
      <font>
        <b val="0"/>
        <i val="0"/>
        <strike val="0"/>
        <condense val="0"/>
        <extend val="0"/>
        <outline val="0"/>
        <shadow val="0"/>
        <u val="none"/>
        <vertAlign val="baseline"/>
        <sz val="11"/>
        <color theme="1"/>
        <name val="Times New Roman"/>
        <scheme val="none"/>
      </font>
      <fill>
        <patternFill patternType="none">
          <fgColor indexed="64"/>
          <bgColor auto="1"/>
        </patternFill>
      </fill>
    </dxf>
    <dxf>
      <font>
        <b val="0"/>
        <i val="0"/>
        <strike val="0"/>
        <condense val="0"/>
        <extend val="0"/>
        <outline val="0"/>
        <shadow val="0"/>
        <u val="none"/>
        <vertAlign val="baseline"/>
        <sz val="11"/>
        <color theme="1"/>
        <name val="Times New Roman"/>
        <scheme val="none"/>
      </font>
      <numFmt numFmtId="167" formatCode="_-* #,##0_-;\-* #,##0_-;_-* &quot;-&quot;??_-;_-@_-"/>
      <fill>
        <patternFill patternType="none">
          <bgColor auto="1"/>
        </patternFill>
      </fill>
    </dxf>
    <dxf>
      <font>
        <b val="0"/>
        <i val="0"/>
        <strike val="0"/>
        <condense val="0"/>
        <extend val="0"/>
        <outline val="0"/>
        <shadow val="0"/>
        <u val="none"/>
        <vertAlign val="baseline"/>
        <sz val="11"/>
        <color theme="1"/>
        <name val="Times New Roman"/>
        <scheme val="none"/>
      </font>
      <fill>
        <patternFill patternType="none">
          <bgColor auto="1"/>
        </patternFill>
      </fill>
    </dxf>
    <dxf>
      <font>
        <b val="0"/>
        <i val="0"/>
        <strike val="0"/>
        <condense val="0"/>
        <extend val="0"/>
        <outline val="0"/>
        <shadow val="0"/>
        <u val="none"/>
        <vertAlign val="baseline"/>
        <sz val="11"/>
        <color theme="1"/>
        <name val="Times New Roman"/>
        <scheme val="none"/>
      </font>
      <fill>
        <patternFill patternType="none">
          <bgColor auto="1"/>
        </patternFill>
      </fill>
    </dxf>
    <dxf>
      <font>
        <b val="0"/>
        <i val="0"/>
        <strike val="0"/>
        <condense val="0"/>
        <extend val="0"/>
        <outline val="0"/>
        <shadow val="0"/>
        <u val="none"/>
        <vertAlign val="baseline"/>
        <sz val="11"/>
        <color theme="1"/>
        <name val="Times New Roman"/>
        <scheme val="none"/>
      </font>
      <numFmt numFmtId="167" formatCode="_-* #,##0_-;\-* #,##0_-;_-* &quot;-&quot;??_-;_-@_-"/>
      <fill>
        <patternFill patternType="none">
          <bgColor auto="1"/>
        </patternFill>
      </fill>
    </dxf>
    <dxf>
      <font>
        <b val="0"/>
        <i val="0"/>
        <strike val="0"/>
        <condense val="0"/>
        <extend val="0"/>
        <outline val="0"/>
        <shadow val="0"/>
        <u val="none"/>
        <vertAlign val="baseline"/>
        <sz val="11"/>
        <color theme="1"/>
        <name val="Times New Roman"/>
        <scheme val="none"/>
      </font>
      <fill>
        <patternFill patternType="none">
          <bgColor auto="1"/>
        </patternFill>
      </fill>
    </dxf>
    <dxf>
      <font>
        <b val="0"/>
        <i val="0"/>
        <strike val="0"/>
        <condense val="0"/>
        <extend val="0"/>
        <outline val="0"/>
        <shadow val="0"/>
        <u val="none"/>
        <vertAlign val="baseline"/>
        <sz val="11"/>
        <color theme="1"/>
        <name val="Times New Roman"/>
        <scheme val="none"/>
      </font>
      <fill>
        <patternFill patternType="none">
          <bgColor auto="1"/>
        </patternFill>
      </fill>
    </dxf>
    <dxf>
      <font>
        <b val="0"/>
        <i val="0"/>
        <strike val="0"/>
        <condense val="0"/>
        <extend val="0"/>
        <outline val="0"/>
        <shadow val="0"/>
        <u val="none"/>
        <vertAlign val="baseline"/>
        <sz val="11"/>
        <color theme="1"/>
        <name val="Times New Roman"/>
        <scheme val="none"/>
      </font>
      <numFmt numFmtId="35" formatCode="_-* #,##0.00_-;\-* #,##0.00_-;_-* &quot;-&quot;??_-;_-@_-"/>
      <fill>
        <patternFill patternType="solid">
          <fgColor indexed="64"/>
          <bgColor rgb="FFFFFF00"/>
        </patternFill>
      </fill>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Times New Roman"/>
        <scheme val="none"/>
      </font>
      <numFmt numFmtId="179" formatCode="m/d/yyyy"/>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Times New Roman"/>
        <scheme val="none"/>
      </font>
      <numFmt numFmtId="179" formatCode="m/d/yyyy"/>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1"/>
        <color theme="1"/>
        <name val="Times New Roman"/>
        <scheme val="none"/>
      </font>
      <fill>
        <patternFill patternType="none">
          <fgColor indexed="64"/>
          <bgColor auto="1"/>
        </patternFill>
      </fill>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indexed="65"/>
        </patternFill>
      </fill>
    </dxf>
    <dxf>
      <font>
        <b val="0"/>
        <i val="0"/>
        <strike val="0"/>
        <condense val="0"/>
        <extend val="0"/>
        <outline val="0"/>
        <shadow val="0"/>
        <u val="none"/>
        <vertAlign val="baseline"/>
        <sz val="11"/>
        <color theme="1"/>
        <name val="Times New Roman"/>
        <scheme val="none"/>
      </font>
      <numFmt numFmtId="0" formatCode="General"/>
      <fill>
        <patternFill patternType="none">
          <fgColor indexed="64"/>
          <bgColor auto="1"/>
        </patternFill>
      </fill>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ill>
        <patternFill patternType="none">
          <bgColor auto="1"/>
        </patternFill>
      </fill>
    </dxf>
    <dxf>
      <border>
        <bottom style="thin">
          <color rgb="FF000000"/>
        </bottom>
      </border>
    </dxf>
    <dxf>
      <font>
        <b/>
        <i val="0"/>
        <strike val="0"/>
        <condense val="0"/>
        <extend val="0"/>
        <outline val="0"/>
        <shadow val="0"/>
        <u val="none"/>
        <vertAlign val="baseline"/>
        <sz val="11"/>
        <color auto="1"/>
        <name val="Times New Roman"/>
        <scheme val="none"/>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none">
          <bgColor auto="1"/>
        </patternFill>
      </fill>
    </dxf>
    <dxf>
      <border>
        <bottom style="thin">
          <color indexed="64"/>
        </bottom>
      </border>
    </dxf>
    <dxf>
      <numFmt numFmtId="175" formatCode="0.00,,,,"/>
    </dxf>
    <dxf>
      <numFmt numFmtId="173" formatCode="0.00,,,"/>
    </dxf>
    <dxf>
      <alignment wrapText="0"/>
    </dxf>
    <dxf>
      <alignment vertical="top"/>
    </dxf>
    <dxf>
      <alignment vertical="top"/>
    </dxf>
    <dxf>
      <alignment vertical="top"/>
    </dxf>
    <dxf>
      <alignment vertical="top"/>
    </dxf>
    <dxf>
      <alignment vertical="top"/>
    </dxf>
    <dxf>
      <alignment vertical="top"/>
    </dxf>
    <dxf>
      <alignment vertical="top"/>
    </dxf>
    <dxf>
      <fill>
        <patternFill>
          <bgColor rgb="FFFFFF00"/>
        </patternFill>
      </fill>
    </dxf>
    <dxf>
      <fill>
        <patternFill>
          <bgColor rgb="FFFFFF00"/>
        </patternFill>
      </fill>
    </dxf>
    <dxf>
      <fill>
        <patternFill>
          <bgColor theme="2" tint="-9.9978637043366805E-2"/>
        </patternFill>
      </fill>
    </dxf>
    <dxf>
      <fill>
        <patternFill>
          <bgColor theme="2" tint="-9.9978637043366805E-2"/>
        </patternFill>
      </fill>
    </dxf>
    <dxf>
      <fill>
        <patternFill patternType="solid">
          <bgColor theme="5" tint="0.79998168889431442"/>
        </patternFill>
      </fill>
    </dxf>
    <dxf>
      <fill>
        <patternFill patternType="solid">
          <bgColor theme="5" tint="0.7999816888943144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5" tint="0.79998168889431442"/>
        </patternFill>
      </fill>
    </dxf>
    <dxf>
      <fill>
        <patternFill patternType="solid">
          <bgColor theme="5"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left"/>
    </dxf>
    <dxf>
      <alignment horizontal="center"/>
    </dxf>
    <dxf>
      <numFmt numFmtId="173" formatCode="0.00,,,"/>
    </dxf>
    <dxf>
      <numFmt numFmtId="172" formatCode="0,,,"/>
    </dxf>
    <dxf>
      <alignment wrapText="1"/>
    </dxf>
    <dxf>
      <numFmt numFmtId="2" formatCode="0.00"/>
    </dxf>
    <dxf>
      <numFmt numFmtId="2" formatCode="0.00"/>
    </dxf>
    <dxf>
      <numFmt numFmtId="177" formatCode="#,##0_);\(#,##0\)"/>
    </dxf>
    <dxf>
      <numFmt numFmtId="177" formatCode="#,##0_);\(#,##0\)"/>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67" formatCode="_-* #,##0_-;\-* #,##0_-;_-* &quot;-&quot;??_-;_-@_-"/>
    </dxf>
    <dxf>
      <numFmt numFmtId="178" formatCode="d\-mmm\-yy"/>
    </dxf>
    <dxf>
      <numFmt numFmtId="178" formatCode="d\-mmm\-yy"/>
    </dxf>
    <dxf>
      <numFmt numFmtId="0" formatCode="General"/>
    </dxf>
    <dxf>
      <numFmt numFmtId="0" formatCode="General"/>
    </dxf>
    <dxf>
      <numFmt numFmtId="0" formatCode="General"/>
    </dxf>
    <dxf>
      <numFmt numFmtId="0" formatCode="General"/>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i val="0"/>
        <strike val="0"/>
        <condense val="0"/>
        <extend val="0"/>
        <outline val="0"/>
        <shadow val="0"/>
        <u val="none"/>
        <vertAlign val="baseline"/>
        <sz val="11"/>
        <color theme="1"/>
        <name val="Times New Roman"/>
        <scheme val="none"/>
      </font>
      <border diagonalUp="0" diagonalDown="0" outline="0">
        <left style="thin">
          <color indexed="64"/>
        </left>
        <right style="thin">
          <color indexed="64"/>
        </right>
        <top/>
        <bottom/>
      </border>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79" formatCode="m/d/yyyy"/>
      <alignment horizontal="general" vertical="bottom" textRotation="0" wrapText="0" indent="0" justifyLastLine="0" shrinkToFit="0" readingOrder="0"/>
    </dxf>
    <dxf>
      <numFmt numFmtId="179" formatCode="m/d/yyyy"/>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4"/>
        <color theme="1"/>
        <name val="Times New Roman"/>
        <scheme val="none"/>
      </font>
      <numFmt numFmtId="165" formatCode="_(* #,##0.00_);_(* \(#,##0.00\);_(* &quot;-&quot;??_);_(@_)"/>
      <border diagonalUp="0" diagonalDown="0" outline="0">
        <left style="thin">
          <color indexed="64"/>
        </left>
        <right/>
        <top style="thin">
          <color indexed="64"/>
        </top>
        <bottom/>
      </border>
    </dxf>
    <dxf>
      <font>
        <b val="0"/>
        <i val="0"/>
        <strike val="0"/>
        <condense val="0"/>
        <extend val="0"/>
        <outline val="0"/>
        <shadow val="0"/>
        <u val="none"/>
        <vertAlign val="baseline"/>
        <sz val="14"/>
        <color theme="1"/>
        <name val="Times New Roman"/>
        <scheme val="none"/>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4"/>
        <color theme="1"/>
        <name val="Times New Roman"/>
        <scheme val="none"/>
      </font>
      <numFmt numFmtId="165" formatCode="_(* #,##0.00_);_(* \(#,##0.00\);_(*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Times New Roman"/>
        <scheme val="none"/>
      </font>
      <numFmt numFmtId="165" formatCode="_(* #,##0.00_);_(* \(#,##0.00\);_(*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Times New Roman"/>
        <scheme val="none"/>
      </font>
      <numFmt numFmtId="165" formatCode="_(* #,##0.00_);_(* \(#,##0.00\);_(*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Times New Roman"/>
        <scheme val="none"/>
      </font>
      <numFmt numFmtId="165" formatCode="_(* #,##0.00_);_(* \(#,##0.00\);_(*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Times New Roman"/>
        <scheme val="none"/>
      </font>
      <numFmt numFmtId="165" formatCode="_(* #,##0.00_);_(* \(#,##0.00\);_(*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Times New Roman"/>
        <scheme val="none"/>
      </font>
      <numFmt numFmtId="165" formatCode="_(* #,##0.00_);_(* \(#,##0.00\);_(*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Times New Roman"/>
        <scheme val="none"/>
      </font>
      <numFmt numFmtId="165" formatCode="_(* #,##0.00_);_(* \(#,##0.00\);_(* &quot;-&quot;??_);_(@_)"/>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Times New Roman"/>
        <scheme val="none"/>
      </font>
      <numFmt numFmtId="165"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4"/>
        <color auto="1"/>
        <name val="Times New Roman"/>
        <scheme val="none"/>
      </font>
      <numFmt numFmtId="16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Times New Roman"/>
        <scheme val="none"/>
      </font>
      <numFmt numFmtId="165"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border>
      <protection locked="1" hidden="0"/>
    </dxf>
    <dxf>
      <font>
        <b val="0"/>
        <i val="0"/>
        <strike val="0"/>
        <condense val="0"/>
        <extend val="0"/>
        <outline val="0"/>
        <shadow val="0"/>
        <u val="none"/>
        <vertAlign val="baseline"/>
        <sz val="14"/>
        <color auto="1"/>
        <name val="Times New Roman"/>
        <scheme val="none"/>
      </font>
      <numFmt numFmtId="165" formatCode="_(* #,##0.00_);_(* \(#,##0.00\);_(* &quot;-&quot;??_);_(@_)"/>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Times New Roman"/>
        <scheme val="none"/>
      </font>
    </dxf>
    <dxf>
      <border outline="0">
        <bottom style="thin">
          <color indexed="64"/>
        </bottom>
      </border>
    </dxf>
    <dxf>
      <font>
        <b/>
        <i val="0"/>
        <strike val="0"/>
        <condense val="0"/>
        <extend val="0"/>
        <outline val="0"/>
        <shadow val="0"/>
        <u val="none"/>
        <vertAlign val="baseline"/>
        <sz val="14"/>
        <color auto="1"/>
        <name val="Times New Roman"/>
        <scheme val="none"/>
      </font>
      <numFmt numFmtId="174" formatCode="_(* #,##0_);_(* \(#,##0\);_(* &quot;-&quot;??_);_(@_)"/>
      <fill>
        <patternFill patternType="solid">
          <fgColor indexed="64"/>
          <bgColor theme="5" tint="0.79998168889431442"/>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haredStrings" Target="sharedStrings.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pivotCacheDefinition" Target="pivotCache/pivotCacheDefinition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Charts!$D$4:$E$11</c:f>
              <c:multiLvlStrCache>
                <c:ptCount val="8"/>
                <c:lvl>
                  <c:pt idx="0">
                    <c:v>GoU</c:v>
                  </c:pt>
                  <c:pt idx="1">
                    <c:v>EF</c:v>
                  </c:pt>
                  <c:pt idx="2">
                    <c:v>GoU</c:v>
                  </c:pt>
                  <c:pt idx="3">
                    <c:v>EF</c:v>
                  </c:pt>
                  <c:pt idx="4">
                    <c:v>GoU</c:v>
                  </c:pt>
                  <c:pt idx="5">
                    <c:v>EF</c:v>
                  </c:pt>
                  <c:pt idx="6">
                    <c:v>GoU</c:v>
                  </c:pt>
                  <c:pt idx="7">
                    <c:v>EF</c:v>
                  </c:pt>
                </c:lvl>
                <c:lvl>
                  <c:pt idx="0">
                    <c:v>FY21-22</c:v>
                  </c:pt>
                  <c:pt idx="2">
                    <c:v>FY22-23</c:v>
                  </c:pt>
                  <c:pt idx="4">
                    <c:v>FY23-24</c:v>
                  </c:pt>
                  <c:pt idx="6">
                    <c:v>FY24-25</c:v>
                  </c:pt>
                </c:lvl>
              </c:multiLvlStrCache>
            </c:multiLvlStrRef>
          </c:cat>
          <c:val>
            <c:numRef>
              <c:f>Charts!$F$4:$F$11</c:f>
              <c:numCache>
                <c:formatCode>#,##0_);\(#,##0\)</c:formatCode>
                <c:ptCount val="8"/>
                <c:pt idx="0">
                  <c:v>9528.9915095588949</c:v>
                </c:pt>
                <c:pt idx="1">
                  <c:v>7741.8276345229979</c:v>
                </c:pt>
                <c:pt idx="2">
                  <c:v>7795.6071800952377</c:v>
                </c:pt>
                <c:pt idx="3">
                  <c:v>2644.2270551610004</c:v>
                </c:pt>
                <c:pt idx="4">
                  <c:v>7202.1411274450784</c:v>
                </c:pt>
                <c:pt idx="5">
                  <c:v>1661.7736816229999</c:v>
                </c:pt>
                <c:pt idx="6">
                  <c:v>6253.9154989839844</c:v>
                </c:pt>
                <c:pt idx="7">
                  <c:v>1103.4627724979998</c:v>
                </c:pt>
              </c:numCache>
            </c:numRef>
          </c:val>
          <c:extLst>
            <c:ext xmlns:c16="http://schemas.microsoft.com/office/drawing/2014/chart" uri="{C3380CC4-5D6E-409C-BE32-E72D297353CC}">
              <c16:uniqueId val="{00000000-CD37-4E04-8C59-CC182993F966}"/>
            </c:ext>
          </c:extLst>
        </c:ser>
        <c:dLbls>
          <c:showLegendKey val="0"/>
          <c:showVal val="0"/>
          <c:showCatName val="0"/>
          <c:showSerName val="0"/>
          <c:showPercent val="0"/>
          <c:showBubbleSize val="0"/>
        </c:dLbls>
        <c:gapWidth val="219"/>
        <c:axId val="477735696"/>
        <c:axId val="477738832"/>
      </c:barChart>
      <c:catAx>
        <c:axId val="4777356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77738832"/>
        <c:crosses val="autoZero"/>
        <c:auto val="1"/>
        <c:lblAlgn val="ctr"/>
        <c:lblOffset val="100"/>
        <c:noMultiLvlLbl val="0"/>
      </c:catAx>
      <c:valAx>
        <c:axId val="477738832"/>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77735696"/>
        <c:crosses val="autoZero"/>
        <c:crossBetween val="between"/>
      </c:valAx>
      <c:spPr>
        <a:noFill/>
        <a:ln>
          <a:solidFill>
            <a:sysClr val="windowText" lastClr="000000"/>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1"/>
            </a:solidFill>
            <a:ln>
              <a:noFill/>
            </a:ln>
            <a:effectLst/>
          </c:spPr>
          <c:invertIfNegative val="0"/>
          <c:cat>
            <c:multiLvlStrRef>
              <c:f>Charts!$H$4:$I$15</c:f>
              <c:multiLvlStrCache>
                <c:ptCount val="12"/>
                <c:lvl>
                  <c:pt idx="0">
                    <c:v>GoU</c:v>
                  </c:pt>
                  <c:pt idx="1">
                    <c:v>MTEF</c:v>
                  </c:pt>
                  <c:pt idx="2">
                    <c:v>NDP III</c:v>
                  </c:pt>
                  <c:pt idx="3">
                    <c:v>GoU</c:v>
                  </c:pt>
                  <c:pt idx="4">
                    <c:v>MTEF</c:v>
                  </c:pt>
                  <c:pt idx="5">
                    <c:v>NDP III</c:v>
                  </c:pt>
                  <c:pt idx="6">
                    <c:v>GoU</c:v>
                  </c:pt>
                  <c:pt idx="7">
                    <c:v>MTEF</c:v>
                  </c:pt>
                  <c:pt idx="8">
                    <c:v>NDP III</c:v>
                  </c:pt>
                  <c:pt idx="9">
                    <c:v>GoU</c:v>
                  </c:pt>
                  <c:pt idx="10">
                    <c:v>MTEF</c:v>
                  </c:pt>
                  <c:pt idx="11">
                    <c:v>NDP III</c:v>
                  </c:pt>
                </c:lvl>
                <c:lvl>
                  <c:pt idx="0">
                    <c:v>FY21-22</c:v>
                  </c:pt>
                  <c:pt idx="3">
                    <c:v>FY22-23</c:v>
                  </c:pt>
                  <c:pt idx="6">
                    <c:v>FY23-24</c:v>
                  </c:pt>
                  <c:pt idx="9">
                    <c:v>FY24-25</c:v>
                  </c:pt>
                </c:lvl>
              </c:multiLvlStrCache>
            </c:multiLvlStrRef>
          </c:cat>
          <c:val>
            <c:numRef>
              <c:f>Charts!$J$4:$J$15</c:f>
              <c:numCache>
                <c:formatCode>_-* #,##0_-;\-* #,##0_-;_-* "-"??_-;_-@_-</c:formatCode>
                <c:ptCount val="12"/>
                <c:pt idx="0" formatCode="#,##0_);\(#,##0\)">
                  <c:v>9528.9915095588949</c:v>
                </c:pt>
                <c:pt idx="1">
                  <c:v>7284.096898946088</c:v>
                </c:pt>
                <c:pt idx="2">
                  <c:v>16190</c:v>
                </c:pt>
                <c:pt idx="3">
                  <c:v>7795.6071800952377</c:v>
                </c:pt>
                <c:pt idx="4">
                  <c:v>7284.096898946088</c:v>
                </c:pt>
                <c:pt idx="5">
                  <c:v>17885</c:v>
                </c:pt>
                <c:pt idx="6">
                  <c:v>7202.1411274450784</c:v>
                </c:pt>
                <c:pt idx="7">
                  <c:v>7284.096898946088</c:v>
                </c:pt>
                <c:pt idx="8">
                  <c:v>14731</c:v>
                </c:pt>
                <c:pt idx="9">
                  <c:v>6253.9154989839844</c:v>
                </c:pt>
                <c:pt idx="10">
                  <c:v>7287.1048455600867</c:v>
                </c:pt>
                <c:pt idx="11">
                  <c:v>15384</c:v>
                </c:pt>
              </c:numCache>
            </c:numRef>
          </c:val>
          <c:extLst>
            <c:ext xmlns:c16="http://schemas.microsoft.com/office/drawing/2014/chart" uri="{C3380CC4-5D6E-409C-BE32-E72D297353CC}">
              <c16:uniqueId val="{00000000-EB3D-49C8-8086-C008FA8EB8D1}"/>
            </c:ext>
          </c:extLst>
        </c:ser>
        <c:dLbls>
          <c:showLegendKey val="0"/>
          <c:showVal val="0"/>
          <c:showCatName val="0"/>
          <c:showSerName val="0"/>
          <c:showPercent val="0"/>
          <c:showBubbleSize val="0"/>
        </c:dLbls>
        <c:gapWidth val="219"/>
        <c:axId val="477737264"/>
        <c:axId val="516556936"/>
      </c:barChart>
      <c:catAx>
        <c:axId val="4777372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16556936"/>
        <c:crosses val="autoZero"/>
        <c:auto val="1"/>
        <c:lblAlgn val="ctr"/>
        <c:lblOffset val="100"/>
        <c:noMultiLvlLbl val="0"/>
      </c:catAx>
      <c:valAx>
        <c:axId val="516556936"/>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77737264"/>
        <c:crosses val="autoZero"/>
        <c:crossBetween val="between"/>
      </c:valAx>
      <c:spPr>
        <a:noFill/>
        <a:ln>
          <a:solidFill>
            <a:sysClr val="windowText" lastClr="000000"/>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75000"/>
              </a:schemeClr>
            </a:solidFill>
            <a:ln>
              <a:noFill/>
            </a:ln>
            <a:effectLst/>
          </c:spPr>
          <c:invertIfNegative val="0"/>
          <c:cat>
            <c:multiLvlStrRef>
              <c:extLst>
                <c:ext xmlns:c15="http://schemas.microsoft.com/office/drawing/2012/chart" uri="{02D57815-91ED-43cb-92C2-25804820EDAC}">
                  <c15:fullRef>
                    <c15:sqref>Charts!$H$4:$I$15</c15:sqref>
                  </c15:fullRef>
                </c:ext>
              </c:extLst>
              <c:f>(Charts!$H$4:$I$5,Charts!$H$7:$I$8,Charts!$H$10:$I$11,Charts!$H$13:$I$14)</c:f>
              <c:multiLvlStrCache>
                <c:ptCount val="8"/>
                <c:lvl>
                  <c:pt idx="0">
                    <c:v>GoU</c:v>
                  </c:pt>
                  <c:pt idx="1">
                    <c:v>MTEF</c:v>
                  </c:pt>
                  <c:pt idx="2">
                    <c:v>GoU</c:v>
                  </c:pt>
                  <c:pt idx="3">
                    <c:v>MTEF</c:v>
                  </c:pt>
                  <c:pt idx="4">
                    <c:v>GoU</c:v>
                  </c:pt>
                  <c:pt idx="5">
                    <c:v>MTEF</c:v>
                  </c:pt>
                  <c:pt idx="6">
                    <c:v>GoU</c:v>
                  </c:pt>
                  <c:pt idx="7">
                    <c:v>MTEF</c:v>
                  </c:pt>
                </c:lvl>
                <c:lvl>
                  <c:pt idx="0">
                    <c:v>FY21-22</c:v>
                  </c:pt>
                  <c:pt idx="2">
                    <c:v>FY22-23</c:v>
                  </c:pt>
                  <c:pt idx="4">
                    <c:v>FY23-24</c:v>
                  </c:pt>
                  <c:pt idx="6">
                    <c:v>FY24-25</c:v>
                  </c:pt>
                </c:lvl>
              </c:multiLvlStrCache>
            </c:multiLvlStrRef>
          </c:cat>
          <c:val>
            <c:numRef>
              <c:extLst>
                <c:ext xmlns:c15="http://schemas.microsoft.com/office/drawing/2012/chart" uri="{02D57815-91ED-43cb-92C2-25804820EDAC}">
                  <c15:fullRef>
                    <c15:sqref>Charts!$J$4:$J$15</c15:sqref>
                  </c15:fullRef>
                </c:ext>
              </c:extLst>
              <c:f>(Charts!$J$4:$J$5,Charts!$J$7:$J$8,Charts!$J$10:$J$11,Charts!$J$13:$J$14)</c:f>
              <c:numCache>
                <c:formatCode>_-* #,##0_-;\-* #,##0_-;_-* "-"??_-;_-@_-</c:formatCode>
                <c:ptCount val="8"/>
                <c:pt idx="0" formatCode="#,##0_);\(#,##0\)">
                  <c:v>9528.9915095588949</c:v>
                </c:pt>
                <c:pt idx="1">
                  <c:v>7284.096898946088</c:v>
                </c:pt>
                <c:pt idx="2">
                  <c:v>7795.6071800952377</c:v>
                </c:pt>
                <c:pt idx="3">
                  <c:v>7284.096898946088</c:v>
                </c:pt>
                <c:pt idx="4">
                  <c:v>7202.1411274450784</c:v>
                </c:pt>
                <c:pt idx="5">
                  <c:v>7284.096898946088</c:v>
                </c:pt>
                <c:pt idx="6">
                  <c:v>6253.9154989839844</c:v>
                </c:pt>
                <c:pt idx="7">
                  <c:v>7287.1048455600867</c:v>
                </c:pt>
              </c:numCache>
            </c:numRef>
          </c:val>
          <c:extLst>
            <c:ext xmlns:c16="http://schemas.microsoft.com/office/drawing/2014/chart" uri="{C3380CC4-5D6E-409C-BE32-E72D297353CC}">
              <c16:uniqueId val="{00000000-4D23-4283-8230-CAA47C2772A1}"/>
            </c:ext>
          </c:extLst>
        </c:ser>
        <c:dLbls>
          <c:showLegendKey val="0"/>
          <c:showVal val="0"/>
          <c:showCatName val="0"/>
          <c:showSerName val="0"/>
          <c:showPercent val="0"/>
          <c:showBubbleSize val="0"/>
        </c:dLbls>
        <c:gapWidth val="219"/>
        <c:axId val="516559680"/>
        <c:axId val="473336920"/>
      </c:barChart>
      <c:catAx>
        <c:axId val="5165596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73336920"/>
        <c:crosses val="autoZero"/>
        <c:auto val="1"/>
        <c:lblAlgn val="ctr"/>
        <c:lblOffset val="100"/>
        <c:noMultiLvlLbl val="0"/>
      </c:catAx>
      <c:valAx>
        <c:axId val="473336920"/>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16559680"/>
        <c:crosses val="autoZero"/>
        <c:crossBetween val="between"/>
      </c:valAx>
      <c:spPr>
        <a:noFill/>
        <a:ln>
          <a:solidFill>
            <a:sysClr val="windowText" lastClr="000000"/>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325641</xdr:colOff>
      <xdr:row>0</xdr:row>
      <xdr:rowOff>40705</xdr:rowOff>
    </xdr:from>
    <xdr:to>
      <xdr:col>2</xdr:col>
      <xdr:colOff>1050192</xdr:colOff>
      <xdr:row>0</xdr:row>
      <xdr:rowOff>170962</xdr:rowOff>
    </xdr:to>
    <xdr:sp macro="" textlink="">
      <xdr:nvSpPr>
        <xdr:cNvPr id="3" name="Arrow: Left 2">
          <a:extLst>
            <a:ext uri="{FF2B5EF4-FFF2-40B4-BE49-F238E27FC236}">
              <a16:creationId xmlns:a16="http://schemas.microsoft.com/office/drawing/2014/main" id="{DB2AC1AB-ED57-4ED7-BA49-8A655859BAA8}"/>
            </a:ext>
          </a:extLst>
        </xdr:cNvPr>
        <xdr:cNvSpPr/>
      </xdr:nvSpPr>
      <xdr:spPr>
        <a:xfrm>
          <a:off x="2222500" y="40705"/>
          <a:ext cx="724551" cy="13025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705557</xdr:colOff>
      <xdr:row>15</xdr:row>
      <xdr:rowOff>79199</xdr:rowOff>
    </xdr:from>
    <xdr:to>
      <xdr:col>6</xdr:col>
      <xdr:colOff>518095</xdr:colOff>
      <xdr:row>30</xdr:row>
      <xdr:rowOff>117770</xdr:rowOff>
    </xdr:to>
    <xdr:graphicFrame macro="">
      <xdr:nvGraphicFramePr>
        <xdr:cNvPr id="4" name="Chart 3">
          <a:extLst>
            <a:ext uri="{FF2B5EF4-FFF2-40B4-BE49-F238E27FC236}">
              <a16:creationId xmlns:a16="http://schemas.microsoft.com/office/drawing/2014/main" id="{01C58DCF-52AB-4F42-8B99-98D4B5D270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429270</xdr:colOff>
      <xdr:row>15</xdr:row>
      <xdr:rowOff>49984</xdr:rowOff>
    </xdr:from>
    <xdr:to>
      <xdr:col>27</xdr:col>
      <xdr:colOff>15446</xdr:colOff>
      <xdr:row>30</xdr:row>
      <xdr:rowOff>168145</xdr:rowOff>
    </xdr:to>
    <xdr:graphicFrame macro="">
      <xdr:nvGraphicFramePr>
        <xdr:cNvPr id="5" name="Chart 4">
          <a:extLst>
            <a:ext uri="{FF2B5EF4-FFF2-40B4-BE49-F238E27FC236}">
              <a16:creationId xmlns:a16="http://schemas.microsoft.com/office/drawing/2014/main" id="{CD251AE0-347A-4BE2-8E2F-23AF72DB6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158749</xdr:colOff>
      <xdr:row>15</xdr:row>
      <xdr:rowOff>-1</xdr:rowOff>
    </xdr:from>
    <xdr:to>
      <xdr:col>18</xdr:col>
      <xdr:colOff>94175</xdr:colOff>
      <xdr:row>30</xdr:row>
      <xdr:rowOff>118160</xdr:rowOff>
    </xdr:to>
    <xdr:graphicFrame macro="">
      <xdr:nvGraphicFramePr>
        <xdr:cNvPr id="6" name="Chart 5">
          <a:extLst>
            <a:ext uri="{FF2B5EF4-FFF2-40B4-BE49-F238E27FC236}">
              <a16:creationId xmlns:a16="http://schemas.microsoft.com/office/drawing/2014/main" id="{F398F7E4-3AC0-45FD-B9DF-78AACABD3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swn05d\afr1\Documents%20and%20Settings\aespejo\My%20Local%20Documents\Uganda%20-%20BOP%20files\Total%20exercise\Documents%20and%20Settings\aespejo\My%20Local%20Documents\Uganda%20-%20BOP%20files\UG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mof_mail/Documents%20and%20Settings/jmuheirwoha.FINANCE.002/Desktop/MTEF%20March2010/1LINEDATA%20-%20October%20'09~20%20March%20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ikasozi\LOCALS~1\Temp\Wage%20Adequacy%20for%20FY%202016-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1\ikasozi\LOCALS~1\Temp\Annex%203_Pension%20Arrears%20item%203216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cro%20Drive/I.%20Economic%20Analysis%20Unit%20(EA)/04th%20%20Dec%202020%20Macroframe%20-BFP%202021-22%20-%20revised%20debt%20service%20(1)/input_projec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wakuganda/Downloads/Analysis%20MoH%20MY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aziz/Box%20Sync/PFM%20FY%202021/Uganda/2101%20MYCS/MYCS%20Template/MYC%20Template%20Uganda%20Workshop%20v22.1.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cro%20Drive/I.%20Economic%20Analysis%20Unit%20(EA)/04th%20%20Dec%202020%20Macroframe%20-BFP%202021-22%20-%20revised%20debt%20service%20(1)/macrofram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iaziz/Box%20Sync/PFM%20FY%202021/Uganda/2101%20MYCS/MYCS%20Analysis%20Working%20File/Annex%201-%20MTEF%20UIRI-MoFPED%2015-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gseit01"/>
      <sheetName val="TOC"/>
      <sheetName val="Chartout"/>
      <sheetName val="SEI"/>
      <sheetName val="Con"/>
      <sheetName val="Asm"/>
      <sheetName val="AltAsm"/>
      <sheetName val="InOutQ"/>
      <sheetName val="InOutM"/>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ControlSheet"/>
      <sheetName val="WETA"/>
      <sheetName val="WETA-Consistency"/>
      <sheetName val="UGHUB"/>
      <sheetName val="Quarterly Prog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EF"/>
      <sheetName val="Projects FY10-11"/>
      <sheetName val="MTEF BY VOTE"/>
      <sheetName val="Projects"/>
      <sheetName val="Wages"/>
      <sheetName val="Development"/>
      <sheetName val="Projects-new"/>
      <sheetName val="Changes"/>
      <sheetName val="Non-Wage Recurrent"/>
      <sheetName val="Summary MTEF"/>
      <sheetName val="Summary MTEF (GoU)"/>
      <sheetName val="Sheet1"/>
      <sheetName val="Resource"/>
      <sheetName val="PAF"/>
      <sheetName val="Projects sector"/>
      <sheetName val="Sector break down"/>
    </sheetNames>
    <sheetDataSet>
      <sheetData sheetId="0"/>
      <sheetData sheetId="1"/>
      <sheetData sheetId="2"/>
      <sheetData sheetId="3"/>
      <sheetData sheetId="4"/>
      <sheetData sheetId="5"/>
      <sheetData sheetId="6"/>
      <sheetData sheetId="7" refreshError="1">
        <row r="6">
          <cell r="A6">
            <v>1000000</v>
          </cell>
        </row>
      </sheetData>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Pay"/>
      <sheetName val="Universities"/>
      <sheetName val="Additional Q1 Limits"/>
      <sheetName val="wage_16'17"/>
      <sheetName val="ORIGINAL"/>
      <sheetName val="Projected &amp; Requested"/>
      <sheetName val="Requests Received"/>
      <sheetName val="LGs_Item.Classification"/>
      <sheetName val="add"/>
      <sheetName val="Initial"/>
      <sheetName val="OBT Analysis"/>
      <sheetName val="Non submission in OBT"/>
      <sheetName val="OBT Analysis Shortfalls"/>
      <sheetName val="Votes with Requests"/>
      <sheetName val="SALARY"/>
      <sheetName val="Projected New"/>
      <sheetName val="Requested New"/>
    </sheetNames>
    <sheetDataSet>
      <sheetData sheetId="0" refreshError="1"/>
      <sheetData sheetId="1" refreshError="1"/>
      <sheetData sheetId="2" refreshError="1"/>
      <sheetData sheetId="3">
        <row r="1">
          <cell r="X1" t="str">
            <v>QUARTER 0NE (Q1) FY 2016/17 WAGE EXPENDITURE LIMITS</v>
          </cell>
          <cell r="AK1" t="str">
            <v>QUARTER TWO (Q2) FY 2016/17 WAGE EXPENDITURE LIMITS</v>
          </cell>
          <cell r="AX1" t="str">
            <v>QUARTER THREE (Q3) FY 2016/17 WAGE EXPENDITURE LIMITS</v>
          </cell>
          <cell r="BK1" t="str">
            <v>QUARTER FOUR (Q4) FY 2016/17 WAGE EXPENDITURE LIMITS</v>
          </cell>
        </row>
        <row r="2">
          <cell r="H2" t="str">
            <v>General_211101</v>
          </cell>
          <cell r="I2" t="str">
            <v>Contract-211102</v>
          </cell>
          <cell r="J2" t="str">
            <v>Statutory_211104</v>
          </cell>
          <cell r="K2" t="str">
            <v>Missions_211105</v>
          </cell>
          <cell r="L2" t="str">
            <v>District UW_321451</v>
          </cell>
          <cell r="M2" t="str">
            <v>Urban UW_321450</v>
          </cell>
          <cell r="R2" t="str">
            <v>Agric. Extension_321466</v>
          </cell>
          <cell r="S2" t="str">
            <v>PHC_321466</v>
          </cell>
          <cell r="T2" t="str">
            <v>Education-321466</v>
          </cell>
          <cell r="U2" t="str">
            <v>o/w Primary</v>
          </cell>
          <cell r="V2" t="str">
            <v>o/w Secondary</v>
          </cell>
          <cell r="W2" t="str">
            <v>o/w Tertiary</v>
          </cell>
          <cell r="X2" t="str">
            <v>TOTAL Q1</v>
          </cell>
          <cell r="AK2" t="str">
            <v>TOTAL Q2</v>
          </cell>
          <cell r="AX2" t="str">
            <v>TOTAL Q3</v>
          </cell>
          <cell r="BK2" t="str">
            <v>TOTAL Q4</v>
          </cell>
        </row>
        <row r="3">
          <cell r="X3">
            <v>0.25</v>
          </cell>
          <cell r="AK3">
            <v>0.25</v>
          </cell>
          <cell r="AX3">
            <v>0.25</v>
          </cell>
          <cell r="BK3">
            <v>0.25</v>
          </cell>
          <cell r="CB3" t="str">
            <v>Budget Balance</v>
          </cell>
        </row>
        <row r="4">
          <cell r="H4">
            <v>47478147814.079994</v>
          </cell>
          <cell r="I4">
            <v>915365011</v>
          </cell>
          <cell r="J4">
            <v>85200000</v>
          </cell>
          <cell r="K4">
            <v>0</v>
          </cell>
          <cell r="L4">
            <v>0</v>
          </cell>
          <cell r="R4">
            <v>0</v>
          </cell>
          <cell r="S4">
            <v>0</v>
          </cell>
          <cell r="T4">
            <v>0</v>
          </cell>
          <cell r="U4">
            <v>0</v>
          </cell>
          <cell r="V4">
            <v>0</v>
          </cell>
          <cell r="W4">
            <v>0</v>
          </cell>
          <cell r="X4">
            <v>12119678206.269999</v>
          </cell>
          <cell r="AK4">
            <v>12119678206.269999</v>
          </cell>
          <cell r="AX4">
            <v>12119678206.269999</v>
          </cell>
          <cell r="BK4">
            <v>12119678206.269999</v>
          </cell>
          <cell r="CB4">
            <v>0</v>
          </cell>
        </row>
        <row r="5">
          <cell r="H5">
            <v>13225176438</v>
          </cell>
          <cell r="I5">
            <v>0</v>
          </cell>
          <cell r="J5">
            <v>0</v>
          </cell>
          <cell r="K5">
            <v>0</v>
          </cell>
          <cell r="L5">
            <v>0</v>
          </cell>
          <cell r="M5">
            <v>0</v>
          </cell>
          <cell r="R5">
            <v>0</v>
          </cell>
          <cell r="S5">
            <v>0</v>
          </cell>
          <cell r="T5">
            <v>0</v>
          </cell>
          <cell r="U5">
            <v>0</v>
          </cell>
          <cell r="V5">
            <v>0</v>
          </cell>
          <cell r="W5">
            <v>0</v>
          </cell>
          <cell r="X5">
            <v>3306294109.5</v>
          </cell>
          <cell r="AK5">
            <v>3306294109.5</v>
          </cell>
          <cell r="AX5">
            <v>3306294109.5</v>
          </cell>
          <cell r="BK5">
            <v>3306294109.5</v>
          </cell>
          <cell r="CB5">
            <v>0</v>
          </cell>
        </row>
        <row r="6">
          <cell r="H6">
            <v>2282870416</v>
          </cell>
          <cell r="I6">
            <v>426201764</v>
          </cell>
          <cell r="J6">
            <v>0</v>
          </cell>
          <cell r="K6">
            <v>0</v>
          </cell>
          <cell r="L6">
            <v>0</v>
          </cell>
          <cell r="M6">
            <v>0</v>
          </cell>
          <cell r="R6">
            <v>0</v>
          </cell>
          <cell r="S6">
            <v>0</v>
          </cell>
          <cell r="T6">
            <v>0</v>
          </cell>
          <cell r="U6">
            <v>0</v>
          </cell>
          <cell r="V6">
            <v>0</v>
          </cell>
          <cell r="W6">
            <v>0</v>
          </cell>
          <cell r="X6">
            <v>677268045</v>
          </cell>
          <cell r="AK6">
            <v>677268045</v>
          </cell>
          <cell r="AX6">
            <v>677268045</v>
          </cell>
          <cell r="BK6">
            <v>677268045</v>
          </cell>
          <cell r="CB6">
            <v>0</v>
          </cell>
        </row>
        <row r="7">
          <cell r="H7">
            <v>410393037130.42798</v>
          </cell>
          <cell r="I7">
            <v>0</v>
          </cell>
          <cell r="J7">
            <v>0</v>
          </cell>
          <cell r="K7">
            <v>0</v>
          </cell>
          <cell r="L7">
            <v>0</v>
          </cell>
          <cell r="M7">
            <v>0</v>
          </cell>
          <cell r="R7">
            <v>0</v>
          </cell>
          <cell r="S7">
            <v>0</v>
          </cell>
          <cell r="T7">
            <v>0</v>
          </cell>
          <cell r="U7">
            <v>0</v>
          </cell>
          <cell r="V7">
            <v>0</v>
          </cell>
          <cell r="W7">
            <v>0</v>
          </cell>
          <cell r="X7">
            <v>102598259282.60699</v>
          </cell>
          <cell r="AK7">
            <v>102598259282.60699</v>
          </cell>
          <cell r="AX7">
            <v>102598259282.60699</v>
          </cell>
          <cell r="BK7">
            <v>102598259282.60699</v>
          </cell>
          <cell r="CB7">
            <v>0</v>
          </cell>
        </row>
        <row r="8">
          <cell r="H8">
            <v>3946452554</v>
          </cell>
          <cell r="I8">
            <v>0</v>
          </cell>
          <cell r="J8">
            <v>0</v>
          </cell>
          <cell r="K8">
            <v>0</v>
          </cell>
          <cell r="L8">
            <v>0</v>
          </cell>
          <cell r="M8">
            <v>0</v>
          </cell>
          <cell r="R8">
            <v>0</v>
          </cell>
          <cell r="S8">
            <v>0</v>
          </cell>
          <cell r="T8">
            <v>0</v>
          </cell>
          <cell r="U8">
            <v>0</v>
          </cell>
          <cell r="V8">
            <v>0</v>
          </cell>
          <cell r="W8">
            <v>0</v>
          </cell>
          <cell r="X8">
            <v>986613138.5</v>
          </cell>
          <cell r="AK8">
            <v>986613138.5</v>
          </cell>
          <cell r="AX8">
            <v>986613138.5</v>
          </cell>
          <cell r="BK8">
            <v>986613138.5</v>
          </cell>
          <cell r="CB8">
            <v>0</v>
          </cell>
        </row>
        <row r="9">
          <cell r="H9">
            <v>4637964372</v>
          </cell>
          <cell r="I9">
            <v>42228000</v>
          </cell>
          <cell r="J9">
            <v>0</v>
          </cell>
          <cell r="K9">
            <v>0</v>
          </cell>
          <cell r="L9">
            <v>0</v>
          </cell>
          <cell r="M9">
            <v>0</v>
          </cell>
          <cell r="R9">
            <v>0</v>
          </cell>
          <cell r="S9">
            <v>0</v>
          </cell>
          <cell r="T9">
            <v>0</v>
          </cell>
          <cell r="U9">
            <v>0</v>
          </cell>
          <cell r="V9">
            <v>0</v>
          </cell>
          <cell r="W9">
            <v>0</v>
          </cell>
          <cell r="X9">
            <v>1170048093</v>
          </cell>
          <cell r="AK9">
            <v>1170048093</v>
          </cell>
          <cell r="AX9">
            <v>1170048093</v>
          </cell>
          <cell r="BK9">
            <v>1170048093</v>
          </cell>
          <cell r="CB9">
            <v>0</v>
          </cell>
        </row>
        <row r="10">
          <cell r="H10">
            <v>3548059391.9941368</v>
          </cell>
          <cell r="I10">
            <v>0</v>
          </cell>
          <cell r="J10">
            <v>0</v>
          </cell>
          <cell r="K10">
            <v>0</v>
          </cell>
          <cell r="L10">
            <v>0</v>
          </cell>
          <cell r="M10">
            <v>0</v>
          </cell>
          <cell r="R10">
            <v>0</v>
          </cell>
          <cell r="S10">
            <v>0</v>
          </cell>
          <cell r="T10">
            <v>0</v>
          </cell>
          <cell r="U10">
            <v>0</v>
          </cell>
          <cell r="V10">
            <v>0</v>
          </cell>
          <cell r="W10">
            <v>0</v>
          </cell>
          <cell r="X10">
            <v>887014847.9985342</v>
          </cell>
          <cell r="AK10">
            <v>887014847.9985342</v>
          </cell>
          <cell r="AX10">
            <v>887014847.9985342</v>
          </cell>
          <cell r="BK10">
            <v>887014847.9985342</v>
          </cell>
          <cell r="CB10">
            <v>0</v>
          </cell>
        </row>
        <row r="11">
          <cell r="H11">
            <v>4269510138.3519921</v>
          </cell>
          <cell r="I11">
            <v>0</v>
          </cell>
          <cell r="J11">
            <v>0</v>
          </cell>
          <cell r="K11">
            <v>0</v>
          </cell>
          <cell r="L11">
            <v>0</v>
          </cell>
          <cell r="M11">
            <v>0</v>
          </cell>
          <cell r="R11">
            <v>0</v>
          </cell>
          <cell r="S11">
            <v>0</v>
          </cell>
          <cell r="T11">
            <v>0</v>
          </cell>
          <cell r="U11">
            <v>0</v>
          </cell>
          <cell r="V11">
            <v>0</v>
          </cell>
          <cell r="W11">
            <v>0</v>
          </cell>
          <cell r="X11">
            <v>1067377534.587998</v>
          </cell>
          <cell r="AK11">
            <v>1067377534.587998</v>
          </cell>
          <cell r="AX11">
            <v>1067377534.587998</v>
          </cell>
          <cell r="BK11">
            <v>1067377534.587998</v>
          </cell>
          <cell r="CB11">
            <v>0</v>
          </cell>
        </row>
        <row r="12">
          <cell r="H12">
            <v>1784367889.7</v>
          </cell>
          <cell r="I12">
            <v>0</v>
          </cell>
          <cell r="J12">
            <v>0</v>
          </cell>
          <cell r="K12">
            <v>0</v>
          </cell>
          <cell r="L12">
            <v>0</v>
          </cell>
          <cell r="M12">
            <v>0</v>
          </cell>
          <cell r="R12">
            <v>0</v>
          </cell>
          <cell r="S12">
            <v>0</v>
          </cell>
          <cell r="T12">
            <v>0</v>
          </cell>
          <cell r="U12">
            <v>0</v>
          </cell>
          <cell r="V12">
            <v>0</v>
          </cell>
          <cell r="W12">
            <v>0</v>
          </cell>
          <cell r="X12">
            <v>446091972.42500001</v>
          </cell>
          <cell r="AK12">
            <v>446091972.42500001</v>
          </cell>
          <cell r="AX12">
            <v>446091972.42500001</v>
          </cell>
          <cell r="BK12">
            <v>446091972.42500001</v>
          </cell>
          <cell r="CB12">
            <v>0</v>
          </cell>
        </row>
        <row r="13">
          <cell r="H13">
            <v>5033560834.9993</v>
          </cell>
          <cell r="I13">
            <v>550000000</v>
          </cell>
          <cell r="J13">
            <v>0</v>
          </cell>
          <cell r="K13">
            <v>0</v>
          </cell>
          <cell r="L13">
            <v>0</v>
          </cell>
          <cell r="M13">
            <v>0</v>
          </cell>
          <cell r="R13">
            <v>0</v>
          </cell>
          <cell r="S13">
            <v>0</v>
          </cell>
          <cell r="T13">
            <v>0</v>
          </cell>
          <cell r="U13">
            <v>0</v>
          </cell>
          <cell r="V13">
            <v>0</v>
          </cell>
          <cell r="W13">
            <v>0</v>
          </cell>
          <cell r="X13">
            <v>1395890208.749825</v>
          </cell>
          <cell r="AK13">
            <v>1395890208.749825</v>
          </cell>
          <cell r="AX13">
            <v>1395890208.749825</v>
          </cell>
          <cell r="BK13">
            <v>1395890208.749825</v>
          </cell>
          <cell r="CB13">
            <v>0</v>
          </cell>
        </row>
        <row r="14">
          <cell r="H14">
            <v>6621313106</v>
          </cell>
          <cell r="I14">
            <v>0</v>
          </cell>
          <cell r="J14">
            <v>0</v>
          </cell>
          <cell r="K14">
            <v>0</v>
          </cell>
          <cell r="L14">
            <v>0</v>
          </cell>
          <cell r="M14">
            <v>0</v>
          </cell>
          <cell r="R14">
            <v>0</v>
          </cell>
          <cell r="S14">
            <v>0</v>
          </cell>
          <cell r="T14">
            <v>0</v>
          </cell>
          <cell r="U14">
            <v>0</v>
          </cell>
          <cell r="V14">
            <v>0</v>
          </cell>
          <cell r="W14">
            <v>0</v>
          </cell>
          <cell r="X14">
            <v>1655328276.5</v>
          </cell>
          <cell r="AK14">
            <v>1655328276.5</v>
          </cell>
          <cell r="AX14">
            <v>1655328276.5</v>
          </cell>
          <cell r="BK14">
            <v>1655328276.5</v>
          </cell>
          <cell r="CB14">
            <v>0</v>
          </cell>
        </row>
        <row r="15">
          <cell r="H15">
            <v>3623866762.970612</v>
          </cell>
          <cell r="I15">
            <v>577177000.02938795</v>
          </cell>
          <cell r="J15">
            <v>0</v>
          </cell>
          <cell r="K15">
            <v>0</v>
          </cell>
          <cell r="L15">
            <v>0</v>
          </cell>
          <cell r="M15">
            <v>0</v>
          </cell>
          <cell r="R15">
            <v>0</v>
          </cell>
          <cell r="S15">
            <v>0</v>
          </cell>
          <cell r="T15">
            <v>0</v>
          </cell>
          <cell r="U15">
            <v>0</v>
          </cell>
          <cell r="V15">
            <v>0</v>
          </cell>
          <cell r="W15">
            <v>0</v>
          </cell>
          <cell r="X15">
            <v>1050260940.75</v>
          </cell>
          <cell r="AK15">
            <v>1050260940.75</v>
          </cell>
          <cell r="AX15">
            <v>1050260940.75</v>
          </cell>
          <cell r="BK15">
            <v>1050260940.75</v>
          </cell>
          <cell r="CB15">
            <v>0</v>
          </cell>
        </row>
        <row r="16">
          <cell r="H16">
            <v>12378182907.31267</v>
          </cell>
          <cell r="I16">
            <v>445429564</v>
          </cell>
          <cell r="J16">
            <v>0</v>
          </cell>
          <cell r="K16">
            <v>0</v>
          </cell>
          <cell r="L16">
            <v>0</v>
          </cell>
          <cell r="M16">
            <v>0</v>
          </cell>
          <cell r="R16">
            <v>0</v>
          </cell>
          <cell r="S16">
            <v>0</v>
          </cell>
          <cell r="T16">
            <v>0</v>
          </cell>
          <cell r="U16">
            <v>0</v>
          </cell>
          <cell r="V16">
            <v>0</v>
          </cell>
          <cell r="W16">
            <v>0</v>
          </cell>
          <cell r="X16">
            <v>3205903117.8281674</v>
          </cell>
          <cell r="AK16">
            <v>3205903117.8281674</v>
          </cell>
          <cell r="AX16">
            <v>3205903117.8281674</v>
          </cell>
          <cell r="BK16">
            <v>3205903117.8281674</v>
          </cell>
          <cell r="CB16">
            <v>0</v>
          </cell>
        </row>
        <row r="17">
          <cell r="H17">
            <v>7349148746.000001</v>
          </cell>
          <cell r="I17">
            <v>1632037775</v>
          </cell>
          <cell r="J17">
            <v>0</v>
          </cell>
          <cell r="K17">
            <v>0</v>
          </cell>
          <cell r="L17">
            <v>0</v>
          </cell>
          <cell r="M17">
            <v>0</v>
          </cell>
          <cell r="R17">
            <v>0</v>
          </cell>
          <cell r="S17">
            <v>0</v>
          </cell>
          <cell r="T17">
            <v>0</v>
          </cell>
          <cell r="U17">
            <v>0</v>
          </cell>
          <cell r="V17">
            <v>0</v>
          </cell>
          <cell r="W17">
            <v>0</v>
          </cell>
          <cell r="X17">
            <v>2245296630.25</v>
          </cell>
          <cell r="AK17">
            <v>2245296630.25</v>
          </cell>
          <cell r="AX17">
            <v>2245296630.25</v>
          </cell>
          <cell r="BK17">
            <v>2245296630.25</v>
          </cell>
          <cell r="CB17">
            <v>0</v>
          </cell>
        </row>
        <row r="18">
          <cell r="H18">
            <v>1940541276.4000001</v>
          </cell>
          <cell r="I18">
            <v>0</v>
          </cell>
          <cell r="J18">
            <v>0</v>
          </cell>
          <cell r="K18">
            <v>0</v>
          </cell>
          <cell r="L18">
            <v>0</v>
          </cell>
          <cell r="M18">
            <v>0</v>
          </cell>
          <cell r="R18">
            <v>0</v>
          </cell>
          <cell r="S18">
            <v>0</v>
          </cell>
          <cell r="T18">
            <v>0</v>
          </cell>
          <cell r="U18">
            <v>0</v>
          </cell>
          <cell r="V18">
            <v>0</v>
          </cell>
          <cell r="W18">
            <v>0</v>
          </cell>
          <cell r="X18">
            <v>485135319.10000002</v>
          </cell>
          <cell r="AK18">
            <v>485135319.10000002</v>
          </cell>
          <cell r="AX18">
            <v>485135319.10000002</v>
          </cell>
          <cell r="BK18">
            <v>485135319.10000002</v>
          </cell>
          <cell r="CB18">
            <v>0</v>
          </cell>
        </row>
        <row r="19">
          <cell r="H19">
            <v>7352643709</v>
          </cell>
          <cell r="I19">
            <v>1660284759</v>
          </cell>
          <cell r="J19">
            <v>0</v>
          </cell>
          <cell r="K19">
            <v>0</v>
          </cell>
          <cell r="L19">
            <v>0</v>
          </cell>
          <cell r="M19">
            <v>0</v>
          </cell>
          <cell r="R19">
            <v>0</v>
          </cell>
          <cell r="S19">
            <v>0</v>
          </cell>
          <cell r="T19">
            <v>0</v>
          </cell>
          <cell r="U19">
            <v>0</v>
          </cell>
          <cell r="V19">
            <v>0</v>
          </cell>
          <cell r="W19">
            <v>0</v>
          </cell>
          <cell r="X19">
            <v>2253232117</v>
          </cell>
          <cell r="AK19">
            <v>2253232117</v>
          </cell>
          <cell r="AX19">
            <v>2253232117</v>
          </cell>
          <cell r="BK19">
            <v>2253232117</v>
          </cell>
          <cell r="CB19">
            <v>0</v>
          </cell>
        </row>
        <row r="20">
          <cell r="H20">
            <v>3862808958</v>
          </cell>
          <cell r="I20">
            <v>200000000</v>
          </cell>
          <cell r="J20">
            <v>0</v>
          </cell>
          <cell r="K20">
            <v>0</v>
          </cell>
          <cell r="L20">
            <v>0</v>
          </cell>
          <cell r="M20">
            <v>0</v>
          </cell>
          <cell r="R20">
            <v>0</v>
          </cell>
          <cell r="S20">
            <v>0</v>
          </cell>
          <cell r="T20">
            <v>0</v>
          </cell>
          <cell r="U20">
            <v>0</v>
          </cell>
          <cell r="V20">
            <v>0</v>
          </cell>
          <cell r="W20">
            <v>0</v>
          </cell>
          <cell r="X20">
            <v>1015702239.5</v>
          </cell>
          <cell r="AK20">
            <v>1015702239.5</v>
          </cell>
          <cell r="AX20">
            <v>1015702239.5</v>
          </cell>
          <cell r="BK20">
            <v>1015702239.5</v>
          </cell>
          <cell r="CB20">
            <v>0</v>
          </cell>
        </row>
        <row r="21">
          <cell r="H21">
            <v>3437288016.0900002</v>
          </cell>
          <cell r="I21">
            <v>0</v>
          </cell>
          <cell r="J21">
            <v>0</v>
          </cell>
          <cell r="K21">
            <v>0</v>
          </cell>
          <cell r="L21">
            <v>0</v>
          </cell>
          <cell r="M21">
            <v>0</v>
          </cell>
          <cell r="R21">
            <v>0</v>
          </cell>
          <cell r="S21">
            <v>0</v>
          </cell>
          <cell r="T21">
            <v>0</v>
          </cell>
          <cell r="U21">
            <v>0</v>
          </cell>
          <cell r="V21">
            <v>0</v>
          </cell>
          <cell r="W21">
            <v>0</v>
          </cell>
          <cell r="X21">
            <v>859322004.02250004</v>
          </cell>
          <cell r="AK21">
            <v>859322004.02250004</v>
          </cell>
          <cell r="AX21">
            <v>859322004.02250004</v>
          </cell>
          <cell r="BK21">
            <v>859322004.02250004</v>
          </cell>
          <cell r="CB21">
            <v>0</v>
          </cell>
        </row>
        <row r="22">
          <cell r="H22">
            <v>3989298500</v>
          </cell>
          <cell r="I22">
            <v>376386252</v>
          </cell>
          <cell r="J22">
            <v>0</v>
          </cell>
          <cell r="K22">
            <v>0</v>
          </cell>
          <cell r="L22">
            <v>0</v>
          </cell>
          <cell r="M22">
            <v>0</v>
          </cell>
          <cell r="R22">
            <v>0</v>
          </cell>
          <cell r="S22">
            <v>0</v>
          </cell>
          <cell r="T22">
            <v>0</v>
          </cell>
          <cell r="U22">
            <v>0</v>
          </cell>
          <cell r="V22">
            <v>0</v>
          </cell>
          <cell r="W22">
            <v>0</v>
          </cell>
          <cell r="X22">
            <v>1091421188</v>
          </cell>
          <cell r="AK22">
            <v>1091421188</v>
          </cell>
          <cell r="AX22">
            <v>1091421188</v>
          </cell>
          <cell r="BK22">
            <v>1091421188</v>
          </cell>
          <cell r="CB22">
            <v>0</v>
          </cell>
        </row>
        <row r="23">
          <cell r="H23">
            <v>817107861</v>
          </cell>
          <cell r="I23">
            <v>0</v>
          </cell>
          <cell r="J23">
            <v>0</v>
          </cell>
          <cell r="K23">
            <v>0</v>
          </cell>
          <cell r="L23">
            <v>0</v>
          </cell>
          <cell r="M23">
            <v>0</v>
          </cell>
          <cell r="R23">
            <v>0</v>
          </cell>
          <cell r="S23">
            <v>0</v>
          </cell>
          <cell r="T23">
            <v>0</v>
          </cell>
          <cell r="U23">
            <v>0</v>
          </cell>
          <cell r="V23">
            <v>0</v>
          </cell>
          <cell r="W23">
            <v>0</v>
          </cell>
          <cell r="X23">
            <v>204276965.25</v>
          </cell>
          <cell r="AK23">
            <v>204276965.25</v>
          </cell>
          <cell r="AX23">
            <v>204276965.25</v>
          </cell>
          <cell r="BK23">
            <v>204276965.25</v>
          </cell>
          <cell r="CB23">
            <v>0</v>
          </cell>
        </row>
        <row r="24">
          <cell r="H24">
            <v>568812090</v>
          </cell>
          <cell r="I24">
            <v>0</v>
          </cell>
          <cell r="J24">
            <v>0</v>
          </cell>
          <cell r="K24">
            <v>0</v>
          </cell>
          <cell r="L24">
            <v>0</v>
          </cell>
          <cell r="M24">
            <v>0</v>
          </cell>
          <cell r="R24">
            <v>0</v>
          </cell>
          <cell r="S24">
            <v>0</v>
          </cell>
          <cell r="T24">
            <v>0</v>
          </cell>
          <cell r="U24">
            <v>0</v>
          </cell>
          <cell r="V24">
            <v>0</v>
          </cell>
          <cell r="W24">
            <v>0</v>
          </cell>
          <cell r="X24">
            <v>142203022.5</v>
          </cell>
          <cell r="AK24">
            <v>142203022.5</v>
          </cell>
          <cell r="AX24">
            <v>142203022.5</v>
          </cell>
          <cell r="BK24">
            <v>142203022.5</v>
          </cell>
          <cell r="CB24">
            <v>0</v>
          </cell>
        </row>
        <row r="25">
          <cell r="H25">
            <v>1782582670.5</v>
          </cell>
          <cell r="I25">
            <v>0</v>
          </cell>
          <cell r="J25">
            <v>0</v>
          </cell>
          <cell r="K25">
            <v>0</v>
          </cell>
          <cell r="L25">
            <v>0</v>
          </cell>
          <cell r="M25">
            <v>0</v>
          </cell>
          <cell r="R25">
            <v>0</v>
          </cell>
          <cell r="S25">
            <v>0</v>
          </cell>
          <cell r="T25">
            <v>0</v>
          </cell>
          <cell r="U25">
            <v>0</v>
          </cell>
          <cell r="V25">
            <v>0</v>
          </cell>
          <cell r="W25">
            <v>0</v>
          </cell>
          <cell r="X25">
            <v>445645667.625</v>
          </cell>
          <cell r="AK25">
            <v>445645667.625</v>
          </cell>
          <cell r="AX25">
            <v>445645667.625</v>
          </cell>
          <cell r="BK25">
            <v>445645667.625</v>
          </cell>
          <cell r="CB25">
            <v>0</v>
          </cell>
        </row>
        <row r="26">
          <cell r="H26">
            <v>11980219623.2878</v>
          </cell>
          <cell r="I26">
            <v>2225290606</v>
          </cell>
          <cell r="J26">
            <v>12972497568</v>
          </cell>
          <cell r="K26">
            <v>0</v>
          </cell>
          <cell r="L26">
            <v>0</v>
          </cell>
          <cell r="M26">
            <v>0</v>
          </cell>
          <cell r="R26">
            <v>0</v>
          </cell>
          <cell r="S26">
            <v>0</v>
          </cell>
          <cell r="T26">
            <v>0</v>
          </cell>
          <cell r="U26">
            <v>0</v>
          </cell>
          <cell r="V26">
            <v>0</v>
          </cell>
          <cell r="W26">
            <v>0</v>
          </cell>
          <cell r="X26">
            <v>6794501949.32195</v>
          </cell>
          <cell r="AK26">
            <v>6794501949.32195</v>
          </cell>
          <cell r="AX26">
            <v>6794501949.32195</v>
          </cell>
          <cell r="BK26">
            <v>6794501949.32195</v>
          </cell>
          <cell r="CB26">
            <v>0</v>
          </cell>
        </row>
        <row r="27">
          <cell r="H27">
            <v>0</v>
          </cell>
          <cell r="I27">
            <v>0</v>
          </cell>
          <cell r="J27">
            <v>8298317068</v>
          </cell>
          <cell r="K27">
            <v>0</v>
          </cell>
          <cell r="L27">
            <v>0</v>
          </cell>
          <cell r="M27">
            <v>0</v>
          </cell>
          <cell r="R27">
            <v>0</v>
          </cell>
          <cell r="S27">
            <v>0</v>
          </cell>
          <cell r="T27">
            <v>0</v>
          </cell>
          <cell r="U27">
            <v>0</v>
          </cell>
          <cell r="V27">
            <v>0</v>
          </cell>
          <cell r="W27">
            <v>0</v>
          </cell>
          <cell r="X27">
            <v>2074579267</v>
          </cell>
          <cell r="AK27">
            <v>2074579267</v>
          </cell>
          <cell r="AX27">
            <v>2074579267</v>
          </cell>
          <cell r="BK27">
            <v>2074579267</v>
          </cell>
          <cell r="CB27">
            <v>0</v>
          </cell>
        </row>
        <row r="28">
          <cell r="H28">
            <v>0</v>
          </cell>
          <cell r="I28">
            <v>0</v>
          </cell>
          <cell r="J28">
            <v>19789498444</v>
          </cell>
          <cell r="K28">
            <v>0</v>
          </cell>
          <cell r="L28">
            <v>0</v>
          </cell>
          <cell r="M28">
            <v>0</v>
          </cell>
          <cell r="R28">
            <v>0</v>
          </cell>
          <cell r="S28">
            <v>0</v>
          </cell>
          <cell r="T28">
            <v>0</v>
          </cell>
          <cell r="U28">
            <v>0</v>
          </cell>
          <cell r="V28">
            <v>0</v>
          </cell>
          <cell r="W28">
            <v>0</v>
          </cell>
          <cell r="X28">
            <v>4947374611</v>
          </cell>
          <cell r="AK28">
            <v>4947374611</v>
          </cell>
          <cell r="AX28">
            <v>4947374611</v>
          </cell>
          <cell r="BK28">
            <v>4947374611</v>
          </cell>
          <cell r="CB28">
            <v>0</v>
          </cell>
        </row>
        <row r="29">
          <cell r="H29">
            <v>0</v>
          </cell>
          <cell r="I29">
            <v>0</v>
          </cell>
          <cell r="J29">
            <v>86863322595</v>
          </cell>
          <cell r="K29">
            <v>0</v>
          </cell>
          <cell r="L29">
            <v>0</v>
          </cell>
          <cell r="M29">
            <v>0</v>
          </cell>
          <cell r="R29">
            <v>0</v>
          </cell>
          <cell r="S29">
            <v>0</v>
          </cell>
          <cell r="T29">
            <v>0</v>
          </cell>
          <cell r="U29">
            <v>0</v>
          </cell>
          <cell r="V29">
            <v>0</v>
          </cell>
          <cell r="W29">
            <v>0</v>
          </cell>
          <cell r="X29">
            <v>21715830648.75</v>
          </cell>
          <cell r="AK29">
            <v>21715830648.75</v>
          </cell>
          <cell r="AX29">
            <v>21715830648.75</v>
          </cell>
          <cell r="BK29">
            <v>21715830648.75</v>
          </cell>
          <cell r="CB29">
            <v>0</v>
          </cell>
        </row>
        <row r="30">
          <cell r="H30">
            <v>0</v>
          </cell>
          <cell r="I30">
            <v>0</v>
          </cell>
          <cell r="J30">
            <v>4073396523.8800001</v>
          </cell>
          <cell r="K30">
            <v>0</v>
          </cell>
          <cell r="L30">
            <v>0</v>
          </cell>
          <cell r="M30">
            <v>0</v>
          </cell>
          <cell r="R30">
            <v>0</v>
          </cell>
          <cell r="S30">
            <v>0</v>
          </cell>
          <cell r="T30">
            <v>0</v>
          </cell>
          <cell r="U30">
            <v>0</v>
          </cell>
          <cell r="V30">
            <v>0</v>
          </cell>
          <cell r="W30">
            <v>0</v>
          </cell>
          <cell r="X30">
            <v>1018349130.97</v>
          </cell>
          <cell r="AK30">
            <v>1018349130.97</v>
          </cell>
          <cell r="AX30">
            <v>1018349130.97</v>
          </cell>
          <cell r="BK30">
            <v>1018349130.97</v>
          </cell>
          <cell r="CB30">
            <v>0</v>
          </cell>
        </row>
        <row r="31">
          <cell r="H31">
            <v>0</v>
          </cell>
          <cell r="I31">
            <v>0</v>
          </cell>
          <cell r="J31">
            <v>5591118479</v>
          </cell>
          <cell r="K31">
            <v>0</v>
          </cell>
          <cell r="L31">
            <v>0</v>
          </cell>
          <cell r="M31">
            <v>0</v>
          </cell>
          <cell r="R31">
            <v>0</v>
          </cell>
          <cell r="S31">
            <v>0</v>
          </cell>
          <cell r="T31">
            <v>0</v>
          </cell>
          <cell r="U31">
            <v>0</v>
          </cell>
          <cell r="V31">
            <v>0</v>
          </cell>
          <cell r="W31">
            <v>0</v>
          </cell>
          <cell r="X31">
            <v>1397779619.75</v>
          </cell>
          <cell r="AK31">
            <v>1397779619.75</v>
          </cell>
          <cell r="AX31">
            <v>1397779619.75</v>
          </cell>
          <cell r="BK31">
            <v>1397779619.75</v>
          </cell>
          <cell r="CB31">
            <v>0</v>
          </cell>
        </row>
        <row r="32">
          <cell r="H32">
            <v>0</v>
          </cell>
          <cell r="I32">
            <v>0</v>
          </cell>
          <cell r="J32">
            <v>1319679712.96</v>
          </cell>
          <cell r="K32">
            <v>0</v>
          </cell>
          <cell r="L32">
            <v>0</v>
          </cell>
          <cell r="M32">
            <v>0</v>
          </cell>
          <cell r="R32">
            <v>0</v>
          </cell>
          <cell r="S32">
            <v>0</v>
          </cell>
          <cell r="T32">
            <v>0</v>
          </cell>
          <cell r="U32">
            <v>0</v>
          </cell>
          <cell r="V32">
            <v>0</v>
          </cell>
          <cell r="W32">
            <v>0</v>
          </cell>
          <cell r="X32">
            <v>329919928.24000001</v>
          </cell>
          <cell r="AK32">
            <v>329919928.24000001</v>
          </cell>
          <cell r="AX32">
            <v>329919928.24000001</v>
          </cell>
          <cell r="BK32">
            <v>329919928.24000001</v>
          </cell>
          <cell r="CB32">
            <v>0</v>
          </cell>
        </row>
        <row r="33">
          <cell r="H33">
            <v>0</v>
          </cell>
          <cell r="I33">
            <v>0</v>
          </cell>
          <cell r="J33">
            <v>6755343460</v>
          </cell>
          <cell r="K33">
            <v>0</v>
          </cell>
          <cell r="L33">
            <v>0</v>
          </cell>
          <cell r="M33">
            <v>0</v>
          </cell>
          <cell r="R33">
            <v>0</v>
          </cell>
          <cell r="S33">
            <v>0</v>
          </cell>
          <cell r="T33">
            <v>0</v>
          </cell>
          <cell r="U33">
            <v>0</v>
          </cell>
          <cell r="V33">
            <v>0</v>
          </cell>
          <cell r="W33">
            <v>0</v>
          </cell>
          <cell r="X33">
            <v>1688835865</v>
          </cell>
          <cell r="AK33">
            <v>1688835865</v>
          </cell>
          <cell r="AX33">
            <v>1688835865</v>
          </cell>
          <cell r="BK33">
            <v>1688835865</v>
          </cell>
          <cell r="CB33">
            <v>0</v>
          </cell>
        </row>
        <row r="34">
          <cell r="H34">
            <v>0</v>
          </cell>
          <cell r="I34">
            <v>3803985000</v>
          </cell>
          <cell r="J34">
            <v>0</v>
          </cell>
          <cell r="K34">
            <v>0</v>
          </cell>
          <cell r="L34">
            <v>0</v>
          </cell>
          <cell r="M34">
            <v>0</v>
          </cell>
          <cell r="R34">
            <v>0</v>
          </cell>
          <cell r="S34">
            <v>0</v>
          </cell>
          <cell r="T34">
            <v>0</v>
          </cell>
          <cell r="U34">
            <v>0</v>
          </cell>
          <cell r="V34">
            <v>0</v>
          </cell>
          <cell r="W34">
            <v>0</v>
          </cell>
          <cell r="X34">
            <v>950996250</v>
          </cell>
          <cell r="AK34">
            <v>950996250</v>
          </cell>
          <cell r="AX34">
            <v>950996250</v>
          </cell>
          <cell r="BK34">
            <v>950996250</v>
          </cell>
          <cell r="CB34">
            <v>0</v>
          </cell>
        </row>
        <row r="35">
          <cell r="H35">
            <v>0</v>
          </cell>
          <cell r="I35">
            <v>3720150188</v>
          </cell>
          <cell r="J35">
            <v>0</v>
          </cell>
          <cell r="K35">
            <v>0</v>
          </cell>
          <cell r="L35">
            <v>0</v>
          </cell>
          <cell r="M35">
            <v>0</v>
          </cell>
          <cell r="R35">
            <v>0</v>
          </cell>
          <cell r="S35">
            <v>0</v>
          </cell>
          <cell r="T35">
            <v>0</v>
          </cell>
          <cell r="U35">
            <v>0</v>
          </cell>
          <cell r="V35">
            <v>0</v>
          </cell>
          <cell r="W35">
            <v>0</v>
          </cell>
          <cell r="X35">
            <v>930037547</v>
          </cell>
          <cell r="AK35">
            <v>930037547</v>
          </cell>
          <cell r="AX35">
            <v>930037547</v>
          </cell>
          <cell r="BK35">
            <v>930037547</v>
          </cell>
          <cell r="CB35">
            <v>0</v>
          </cell>
        </row>
        <row r="36">
          <cell r="H36">
            <v>16385376683.860001</v>
          </cell>
          <cell r="I36">
            <v>946944480</v>
          </cell>
          <cell r="J36">
            <v>0</v>
          </cell>
          <cell r="K36">
            <v>0</v>
          </cell>
          <cell r="L36">
            <v>0</v>
          </cell>
          <cell r="M36">
            <v>0</v>
          </cell>
          <cell r="R36">
            <v>0</v>
          </cell>
          <cell r="S36">
            <v>0</v>
          </cell>
          <cell r="T36">
            <v>0</v>
          </cell>
          <cell r="U36">
            <v>0</v>
          </cell>
          <cell r="V36">
            <v>0</v>
          </cell>
          <cell r="W36">
            <v>0</v>
          </cell>
          <cell r="X36">
            <v>4333080290.9650002</v>
          </cell>
          <cell r="AK36">
            <v>4333080290.9650002</v>
          </cell>
          <cell r="AX36">
            <v>4333080290.9650002</v>
          </cell>
          <cell r="BK36">
            <v>4333080290.9650002</v>
          </cell>
          <cell r="CB36">
            <v>0</v>
          </cell>
        </row>
        <row r="37">
          <cell r="H37">
            <v>586618776</v>
          </cell>
          <cell r="I37">
            <v>0</v>
          </cell>
          <cell r="J37">
            <v>0</v>
          </cell>
          <cell r="K37">
            <v>0</v>
          </cell>
          <cell r="L37">
            <v>0</v>
          </cell>
          <cell r="M37">
            <v>0</v>
          </cell>
          <cell r="R37">
            <v>0</v>
          </cell>
          <cell r="S37">
            <v>0</v>
          </cell>
          <cell r="T37">
            <v>0</v>
          </cell>
          <cell r="U37">
            <v>0</v>
          </cell>
          <cell r="V37">
            <v>0</v>
          </cell>
          <cell r="W37">
            <v>0</v>
          </cell>
          <cell r="X37">
            <v>146654694</v>
          </cell>
          <cell r="AK37">
            <v>146654694</v>
          </cell>
          <cell r="AX37">
            <v>146654694</v>
          </cell>
          <cell r="BK37">
            <v>146654694</v>
          </cell>
          <cell r="CB37">
            <v>0</v>
          </cell>
        </row>
        <row r="38">
          <cell r="H38">
            <v>0</v>
          </cell>
          <cell r="I38">
            <v>71105192984</v>
          </cell>
          <cell r="J38">
            <v>0</v>
          </cell>
          <cell r="K38">
            <v>0</v>
          </cell>
          <cell r="L38">
            <v>0</v>
          </cell>
          <cell r="M38">
            <v>0</v>
          </cell>
          <cell r="R38">
            <v>0</v>
          </cell>
          <cell r="S38">
            <v>0</v>
          </cell>
          <cell r="T38">
            <v>0</v>
          </cell>
          <cell r="U38">
            <v>0</v>
          </cell>
          <cell r="V38">
            <v>0</v>
          </cell>
          <cell r="W38">
            <v>0</v>
          </cell>
          <cell r="X38">
            <v>17776298246</v>
          </cell>
          <cell r="AK38">
            <v>17776298246</v>
          </cell>
          <cell r="AX38">
            <v>17776298246</v>
          </cell>
          <cell r="BK38">
            <v>17776298246</v>
          </cell>
          <cell r="CB38">
            <v>0</v>
          </cell>
        </row>
        <row r="39">
          <cell r="H39">
            <v>2349469491.9000001</v>
          </cell>
          <cell r="I39">
            <v>0</v>
          </cell>
          <cell r="J39">
            <v>0</v>
          </cell>
          <cell r="K39">
            <v>0</v>
          </cell>
          <cell r="L39">
            <v>0</v>
          </cell>
          <cell r="M39">
            <v>0</v>
          </cell>
          <cell r="R39">
            <v>0</v>
          </cell>
          <cell r="S39">
            <v>0</v>
          </cell>
          <cell r="T39">
            <v>0</v>
          </cell>
          <cell r="U39">
            <v>0</v>
          </cell>
          <cell r="V39">
            <v>0</v>
          </cell>
          <cell r="W39">
            <v>0</v>
          </cell>
          <cell r="X39">
            <v>587367372.97500002</v>
          </cell>
          <cell r="AK39">
            <v>587367372.97500002</v>
          </cell>
          <cell r="AX39">
            <v>587367372.97500002</v>
          </cell>
          <cell r="BK39">
            <v>587367372.97500002</v>
          </cell>
          <cell r="CB39">
            <v>0</v>
          </cell>
        </row>
        <row r="40">
          <cell r="H40">
            <v>2834987153</v>
          </cell>
          <cell r="I40">
            <v>0</v>
          </cell>
          <cell r="J40">
            <v>0</v>
          </cell>
          <cell r="K40">
            <v>0</v>
          </cell>
          <cell r="L40">
            <v>0</v>
          </cell>
          <cell r="M40">
            <v>0</v>
          </cell>
          <cell r="R40">
            <v>0</v>
          </cell>
          <cell r="S40">
            <v>0</v>
          </cell>
          <cell r="T40">
            <v>0</v>
          </cell>
          <cell r="U40">
            <v>0</v>
          </cell>
          <cell r="V40">
            <v>0</v>
          </cell>
          <cell r="W40">
            <v>0</v>
          </cell>
          <cell r="X40">
            <v>708746788.25</v>
          </cell>
          <cell r="AK40">
            <v>708746788.25</v>
          </cell>
          <cell r="AX40">
            <v>708746788.25</v>
          </cell>
          <cell r="BK40">
            <v>708746788.25</v>
          </cell>
          <cell r="CB40">
            <v>0</v>
          </cell>
        </row>
        <row r="41">
          <cell r="H41">
            <v>0</v>
          </cell>
          <cell r="I41">
            <v>1855392000.1998999</v>
          </cell>
          <cell r="J41">
            <v>0</v>
          </cell>
          <cell r="K41">
            <v>0</v>
          </cell>
          <cell r="L41">
            <v>0</v>
          </cell>
          <cell r="M41">
            <v>0</v>
          </cell>
          <cell r="R41">
            <v>0</v>
          </cell>
          <cell r="S41">
            <v>0</v>
          </cell>
          <cell r="T41">
            <v>0</v>
          </cell>
          <cell r="U41">
            <v>0</v>
          </cell>
          <cell r="V41">
            <v>0</v>
          </cell>
          <cell r="W41">
            <v>0</v>
          </cell>
          <cell r="X41">
            <v>463848000.04997498</v>
          </cell>
          <cell r="AK41">
            <v>463848000.04997498</v>
          </cell>
          <cell r="AX41">
            <v>463848000.04997498</v>
          </cell>
          <cell r="BK41">
            <v>463848000.04997498</v>
          </cell>
          <cell r="CB41">
            <v>0</v>
          </cell>
        </row>
        <row r="42">
          <cell r="H42">
            <v>0</v>
          </cell>
          <cell r="I42">
            <v>2511191000</v>
          </cell>
          <cell r="J42">
            <v>0</v>
          </cell>
          <cell r="K42">
            <v>0</v>
          </cell>
          <cell r="L42">
            <v>0</v>
          </cell>
          <cell r="M42">
            <v>0</v>
          </cell>
          <cell r="R42">
            <v>0</v>
          </cell>
          <cell r="S42">
            <v>0</v>
          </cell>
          <cell r="T42">
            <v>0</v>
          </cell>
          <cell r="U42">
            <v>0</v>
          </cell>
          <cell r="V42">
            <v>0</v>
          </cell>
          <cell r="W42">
            <v>0</v>
          </cell>
          <cell r="X42">
            <v>627797750</v>
          </cell>
          <cell r="AK42">
            <v>627797750</v>
          </cell>
          <cell r="AX42">
            <v>627797750</v>
          </cell>
          <cell r="BK42">
            <v>627797750</v>
          </cell>
          <cell r="CB42">
            <v>0</v>
          </cell>
        </row>
        <row r="43">
          <cell r="H43">
            <v>0</v>
          </cell>
          <cell r="I43">
            <v>7056700645</v>
          </cell>
          <cell r="J43">
            <v>0</v>
          </cell>
          <cell r="K43">
            <v>0</v>
          </cell>
          <cell r="L43">
            <v>0</v>
          </cell>
          <cell r="M43">
            <v>0</v>
          </cell>
          <cell r="R43">
            <v>0</v>
          </cell>
          <cell r="S43">
            <v>0</v>
          </cell>
          <cell r="T43">
            <v>0</v>
          </cell>
          <cell r="U43">
            <v>0</v>
          </cell>
          <cell r="V43">
            <v>0</v>
          </cell>
          <cell r="W43">
            <v>0</v>
          </cell>
          <cell r="X43">
            <v>1764175161.25</v>
          </cell>
          <cell r="AK43">
            <v>1764175161.25</v>
          </cell>
          <cell r="AX43">
            <v>1764175161.25</v>
          </cell>
          <cell r="BK43">
            <v>1764175161.25</v>
          </cell>
          <cell r="CB43">
            <v>0</v>
          </cell>
        </row>
        <row r="44">
          <cell r="H44">
            <v>4023486557.4400001</v>
          </cell>
          <cell r="I44">
            <v>0</v>
          </cell>
          <cell r="J44">
            <v>0</v>
          </cell>
          <cell r="K44">
            <v>0</v>
          </cell>
          <cell r="L44">
            <v>0</v>
          </cell>
          <cell r="M44">
            <v>0</v>
          </cell>
          <cell r="R44">
            <v>0</v>
          </cell>
          <cell r="S44">
            <v>0</v>
          </cell>
          <cell r="T44">
            <v>0</v>
          </cell>
          <cell r="U44">
            <v>0</v>
          </cell>
          <cell r="V44">
            <v>0</v>
          </cell>
          <cell r="W44">
            <v>0</v>
          </cell>
          <cell r="X44">
            <v>1005871639.36</v>
          </cell>
          <cell r="AK44">
            <v>1005871639.36</v>
          </cell>
          <cell r="AX44">
            <v>1005871639.36</v>
          </cell>
          <cell r="BK44">
            <v>1005871639.36</v>
          </cell>
          <cell r="CB44">
            <v>0</v>
          </cell>
        </row>
        <row r="45">
          <cell r="H45">
            <v>0</v>
          </cell>
          <cell r="I45">
            <v>1570400000</v>
          </cell>
          <cell r="J45">
            <v>0</v>
          </cell>
          <cell r="K45">
            <v>0</v>
          </cell>
          <cell r="L45">
            <v>0</v>
          </cell>
          <cell r="M45">
            <v>0</v>
          </cell>
          <cell r="R45">
            <v>0</v>
          </cell>
          <cell r="S45">
            <v>0</v>
          </cell>
          <cell r="T45">
            <v>0</v>
          </cell>
          <cell r="U45">
            <v>0</v>
          </cell>
          <cell r="V45">
            <v>0</v>
          </cell>
          <cell r="W45">
            <v>0</v>
          </cell>
          <cell r="X45">
            <v>392600000</v>
          </cell>
          <cell r="AK45">
            <v>392600000</v>
          </cell>
          <cell r="AX45">
            <v>392600000</v>
          </cell>
          <cell r="BK45">
            <v>392600000</v>
          </cell>
          <cell r="CB45">
            <v>0</v>
          </cell>
        </row>
        <row r="46">
          <cell r="H46">
            <v>52515960062.083878</v>
          </cell>
          <cell r="I46">
            <v>0</v>
          </cell>
          <cell r="J46">
            <v>0</v>
          </cell>
          <cell r="K46">
            <v>0</v>
          </cell>
          <cell r="L46">
            <v>0</v>
          </cell>
          <cell r="M46">
            <v>0</v>
          </cell>
          <cell r="R46">
            <v>0</v>
          </cell>
          <cell r="S46">
            <v>0</v>
          </cell>
          <cell r="T46">
            <v>0</v>
          </cell>
          <cell r="U46">
            <v>0</v>
          </cell>
          <cell r="V46">
            <v>0</v>
          </cell>
          <cell r="W46">
            <v>0</v>
          </cell>
          <cell r="X46">
            <v>13128990015.520969</v>
          </cell>
          <cell r="AK46">
            <v>13128990015.520969</v>
          </cell>
          <cell r="AX46">
            <v>13128990015.520969</v>
          </cell>
          <cell r="BK46">
            <v>13128990015.520969</v>
          </cell>
          <cell r="CB46">
            <v>0</v>
          </cell>
        </row>
        <row r="47">
          <cell r="H47">
            <v>0</v>
          </cell>
          <cell r="I47">
            <v>2966807972</v>
          </cell>
          <cell r="J47">
            <v>0</v>
          </cell>
          <cell r="K47">
            <v>0</v>
          </cell>
          <cell r="L47">
            <v>0</v>
          </cell>
          <cell r="M47">
            <v>0</v>
          </cell>
          <cell r="R47">
            <v>0</v>
          </cell>
          <cell r="S47">
            <v>0</v>
          </cell>
          <cell r="T47">
            <v>0</v>
          </cell>
          <cell r="U47">
            <v>0</v>
          </cell>
          <cell r="V47">
            <v>0</v>
          </cell>
          <cell r="W47">
            <v>0</v>
          </cell>
          <cell r="X47">
            <v>741701993</v>
          </cell>
          <cell r="AK47">
            <v>741701993</v>
          </cell>
          <cell r="AX47">
            <v>741701993</v>
          </cell>
          <cell r="BK47">
            <v>741701993</v>
          </cell>
          <cell r="CB47">
            <v>0</v>
          </cell>
        </row>
        <row r="48">
          <cell r="H48">
            <v>0</v>
          </cell>
          <cell r="I48">
            <v>1900000000</v>
          </cell>
          <cell r="J48">
            <v>0</v>
          </cell>
          <cell r="K48">
            <v>0</v>
          </cell>
          <cell r="L48">
            <v>0</v>
          </cell>
          <cell r="M48">
            <v>0</v>
          </cell>
          <cell r="R48">
            <v>0</v>
          </cell>
          <cell r="S48">
            <v>0</v>
          </cell>
          <cell r="T48">
            <v>0</v>
          </cell>
          <cell r="U48">
            <v>0</v>
          </cell>
          <cell r="V48">
            <v>0</v>
          </cell>
          <cell r="W48">
            <v>0</v>
          </cell>
          <cell r="X48">
            <v>475000000</v>
          </cell>
          <cell r="AK48">
            <v>475000000</v>
          </cell>
          <cell r="AX48">
            <v>475000000</v>
          </cell>
          <cell r="BK48">
            <v>475000000</v>
          </cell>
          <cell r="CB48">
            <v>0</v>
          </cell>
        </row>
        <row r="49">
          <cell r="H49">
            <v>6345161925</v>
          </cell>
          <cell r="I49">
            <v>0</v>
          </cell>
          <cell r="J49">
            <v>0</v>
          </cell>
          <cell r="K49">
            <v>0</v>
          </cell>
          <cell r="L49">
            <v>0</v>
          </cell>
          <cell r="M49">
            <v>0</v>
          </cell>
          <cell r="R49">
            <v>0</v>
          </cell>
          <cell r="S49">
            <v>0</v>
          </cell>
          <cell r="T49">
            <v>0</v>
          </cell>
          <cell r="U49">
            <v>0</v>
          </cell>
          <cell r="V49">
            <v>0</v>
          </cell>
          <cell r="W49">
            <v>0</v>
          </cell>
          <cell r="X49">
            <v>1586290481.25</v>
          </cell>
          <cell r="AK49">
            <v>1586290481.25</v>
          </cell>
          <cell r="AX49">
            <v>1586290481.25</v>
          </cell>
          <cell r="BK49">
            <v>1586290481.25</v>
          </cell>
          <cell r="CB49">
            <v>0</v>
          </cell>
        </row>
        <row r="50">
          <cell r="H50">
            <v>3143371126.1995997</v>
          </cell>
          <cell r="I50">
            <v>386876446.29960001</v>
          </cell>
          <cell r="J50">
            <v>0</v>
          </cell>
          <cell r="K50">
            <v>0</v>
          </cell>
          <cell r="L50">
            <v>0</v>
          </cell>
          <cell r="M50">
            <v>0</v>
          </cell>
          <cell r="R50">
            <v>0</v>
          </cell>
          <cell r="S50">
            <v>0</v>
          </cell>
          <cell r="T50">
            <v>0</v>
          </cell>
          <cell r="U50">
            <v>0</v>
          </cell>
          <cell r="V50">
            <v>0</v>
          </cell>
          <cell r="W50">
            <v>0</v>
          </cell>
          <cell r="X50">
            <v>882561893.12479997</v>
          </cell>
          <cell r="AK50">
            <v>882561893.12479997</v>
          </cell>
          <cell r="AX50">
            <v>882561893.12479997</v>
          </cell>
          <cell r="BK50">
            <v>882561893.12479997</v>
          </cell>
          <cell r="CB50">
            <v>0</v>
          </cell>
        </row>
        <row r="51">
          <cell r="H51">
            <v>0</v>
          </cell>
          <cell r="I51">
            <v>3950000000</v>
          </cell>
          <cell r="J51">
            <v>0</v>
          </cell>
          <cell r="K51">
            <v>0</v>
          </cell>
          <cell r="L51">
            <v>0</v>
          </cell>
          <cell r="M51">
            <v>0</v>
          </cell>
          <cell r="R51">
            <v>0</v>
          </cell>
          <cell r="S51">
            <v>0</v>
          </cell>
          <cell r="T51">
            <v>0</v>
          </cell>
          <cell r="U51">
            <v>0</v>
          </cell>
          <cell r="V51">
            <v>0</v>
          </cell>
          <cell r="W51">
            <v>0</v>
          </cell>
          <cell r="X51">
            <v>987500000</v>
          </cell>
          <cell r="AK51">
            <v>987500000</v>
          </cell>
          <cell r="AX51">
            <v>987500000</v>
          </cell>
          <cell r="BK51">
            <v>987500000</v>
          </cell>
          <cell r="CB51">
            <v>0</v>
          </cell>
        </row>
        <row r="52">
          <cell r="H52">
            <v>0</v>
          </cell>
          <cell r="I52">
            <v>2306000000</v>
          </cell>
          <cell r="J52">
            <v>0</v>
          </cell>
          <cell r="K52">
            <v>0</v>
          </cell>
          <cell r="L52">
            <v>0</v>
          </cell>
          <cell r="M52">
            <v>0</v>
          </cell>
          <cell r="R52">
            <v>0</v>
          </cell>
          <cell r="S52">
            <v>0</v>
          </cell>
          <cell r="T52">
            <v>0</v>
          </cell>
          <cell r="U52">
            <v>0</v>
          </cell>
          <cell r="V52">
            <v>0</v>
          </cell>
          <cell r="W52">
            <v>0</v>
          </cell>
          <cell r="X52">
            <v>576500000</v>
          </cell>
          <cell r="AK52">
            <v>576500000</v>
          </cell>
          <cell r="AX52">
            <v>576500000</v>
          </cell>
          <cell r="BK52">
            <v>576500000</v>
          </cell>
          <cell r="CB52">
            <v>0</v>
          </cell>
        </row>
        <row r="53">
          <cell r="H53">
            <v>0</v>
          </cell>
          <cell r="I53">
            <v>0</v>
          </cell>
          <cell r="J53">
            <v>19574846307</v>
          </cell>
          <cell r="K53">
            <v>0</v>
          </cell>
          <cell r="L53">
            <v>0</v>
          </cell>
          <cell r="M53">
            <v>0</v>
          </cell>
          <cell r="R53">
            <v>0</v>
          </cell>
          <cell r="S53">
            <v>0</v>
          </cell>
          <cell r="T53">
            <v>0</v>
          </cell>
          <cell r="U53">
            <v>0</v>
          </cell>
          <cell r="V53">
            <v>0</v>
          </cell>
          <cell r="W53">
            <v>0</v>
          </cell>
          <cell r="X53">
            <v>4893711576.75</v>
          </cell>
          <cell r="AK53">
            <v>4893711576.75</v>
          </cell>
          <cell r="AX53">
            <v>4893711576.75</v>
          </cell>
          <cell r="BK53">
            <v>4893711576.75</v>
          </cell>
          <cell r="CB53">
            <v>0</v>
          </cell>
        </row>
        <row r="54">
          <cell r="H54">
            <v>1256236439.28</v>
          </cell>
          <cell r="I54">
            <v>0</v>
          </cell>
          <cell r="J54">
            <v>0</v>
          </cell>
          <cell r="K54">
            <v>0</v>
          </cell>
          <cell r="L54">
            <v>0</v>
          </cell>
          <cell r="M54">
            <v>0</v>
          </cell>
          <cell r="R54">
            <v>0</v>
          </cell>
          <cell r="S54">
            <v>0</v>
          </cell>
          <cell r="T54">
            <v>0</v>
          </cell>
          <cell r="U54">
            <v>0</v>
          </cell>
          <cell r="V54">
            <v>0</v>
          </cell>
          <cell r="W54">
            <v>0</v>
          </cell>
          <cell r="X54">
            <v>314059109.81999999</v>
          </cell>
          <cell r="AK54">
            <v>314059109.81999999</v>
          </cell>
          <cell r="AX54">
            <v>314059109.81999999</v>
          </cell>
          <cell r="BK54">
            <v>314059109.81999999</v>
          </cell>
          <cell r="CB54">
            <v>0</v>
          </cell>
        </row>
        <row r="55">
          <cell r="H55">
            <v>7181109072.96</v>
          </cell>
          <cell r="I55">
            <v>0</v>
          </cell>
          <cell r="J55">
            <v>108900000</v>
          </cell>
          <cell r="K55">
            <v>0</v>
          </cell>
          <cell r="L55">
            <v>0</v>
          </cell>
          <cell r="M55">
            <v>0</v>
          </cell>
          <cell r="R55">
            <v>0</v>
          </cell>
          <cell r="S55">
            <v>0</v>
          </cell>
          <cell r="T55">
            <v>0</v>
          </cell>
          <cell r="U55">
            <v>0</v>
          </cell>
          <cell r="V55">
            <v>0</v>
          </cell>
          <cell r="W55">
            <v>0</v>
          </cell>
          <cell r="X55">
            <v>1822502268.24</v>
          </cell>
          <cell r="AK55">
            <v>1822502268.24</v>
          </cell>
          <cell r="AX55">
            <v>1822502268.24</v>
          </cell>
          <cell r="BK55">
            <v>1822502268.24</v>
          </cell>
          <cell r="CB55">
            <v>0</v>
          </cell>
        </row>
        <row r="56">
          <cell r="H56">
            <v>509005051</v>
          </cell>
          <cell r="I56">
            <v>680376999.72000003</v>
          </cell>
          <cell r="J56">
            <v>0</v>
          </cell>
          <cell r="K56">
            <v>0</v>
          </cell>
          <cell r="L56">
            <v>0</v>
          </cell>
          <cell r="M56">
            <v>0</v>
          </cell>
          <cell r="R56">
            <v>0</v>
          </cell>
          <cell r="S56">
            <v>0</v>
          </cell>
          <cell r="T56">
            <v>0</v>
          </cell>
          <cell r="U56">
            <v>0</v>
          </cell>
          <cell r="V56">
            <v>0</v>
          </cell>
          <cell r="W56">
            <v>0</v>
          </cell>
          <cell r="X56">
            <v>297345512.68000001</v>
          </cell>
          <cell r="AK56">
            <v>297345512.68000001</v>
          </cell>
          <cell r="AX56">
            <v>297345512.68000001</v>
          </cell>
          <cell r="BK56">
            <v>297345512.68000001</v>
          </cell>
          <cell r="CB56">
            <v>0</v>
          </cell>
        </row>
        <row r="57">
          <cell r="H57">
            <v>100077312793.2</v>
          </cell>
          <cell r="I57">
            <v>0</v>
          </cell>
          <cell r="J57">
            <v>0</v>
          </cell>
          <cell r="K57">
            <v>0</v>
          </cell>
          <cell r="L57">
            <v>0</v>
          </cell>
          <cell r="M57">
            <v>0</v>
          </cell>
          <cell r="R57">
            <v>0</v>
          </cell>
          <cell r="S57">
            <v>0</v>
          </cell>
          <cell r="T57">
            <v>0</v>
          </cell>
          <cell r="U57">
            <v>0</v>
          </cell>
          <cell r="V57">
            <v>0</v>
          </cell>
          <cell r="W57">
            <v>0</v>
          </cell>
          <cell r="X57">
            <v>30019328198.299999</v>
          </cell>
          <cell r="AK57">
            <v>25019328198.299999</v>
          </cell>
          <cell r="AX57">
            <v>25019328198.299999</v>
          </cell>
          <cell r="BK57">
            <v>20019328198.299999</v>
          </cell>
          <cell r="CB57">
            <v>0</v>
          </cell>
        </row>
        <row r="58">
          <cell r="H58">
            <v>21334974498.034191</v>
          </cell>
          <cell r="I58">
            <v>2594199550.965807</v>
          </cell>
          <cell r="J58">
            <v>0</v>
          </cell>
          <cell r="K58">
            <v>0</v>
          </cell>
          <cell r="L58">
            <v>0</v>
          </cell>
          <cell r="M58">
            <v>0</v>
          </cell>
          <cell r="R58">
            <v>0</v>
          </cell>
          <cell r="S58">
            <v>0</v>
          </cell>
          <cell r="T58">
            <v>0</v>
          </cell>
          <cell r="U58">
            <v>0</v>
          </cell>
          <cell r="V58">
            <v>0</v>
          </cell>
          <cell r="W58">
            <v>0</v>
          </cell>
          <cell r="X58">
            <v>5982293512.25</v>
          </cell>
          <cell r="AK58">
            <v>5982293512.25</v>
          </cell>
          <cell r="AX58">
            <v>5982293512.25</v>
          </cell>
          <cell r="BK58">
            <v>5982293512.25</v>
          </cell>
          <cell r="CB58">
            <v>0</v>
          </cell>
        </row>
        <row r="59">
          <cell r="H59">
            <v>16264136962</v>
          </cell>
          <cell r="I59">
            <v>0</v>
          </cell>
          <cell r="J59">
            <v>0</v>
          </cell>
          <cell r="K59">
            <v>0</v>
          </cell>
          <cell r="L59">
            <v>0</v>
          </cell>
          <cell r="M59">
            <v>0</v>
          </cell>
          <cell r="R59">
            <v>0</v>
          </cell>
          <cell r="S59">
            <v>0</v>
          </cell>
          <cell r="T59">
            <v>0</v>
          </cell>
          <cell r="U59">
            <v>0</v>
          </cell>
          <cell r="V59">
            <v>0</v>
          </cell>
          <cell r="W59">
            <v>0</v>
          </cell>
          <cell r="X59">
            <v>4066034240.5</v>
          </cell>
          <cell r="AK59">
            <v>4066034240.5</v>
          </cell>
          <cell r="AX59">
            <v>4066034240.5</v>
          </cell>
          <cell r="BK59">
            <v>4066034240.5</v>
          </cell>
          <cell r="CB59">
            <v>0</v>
          </cell>
        </row>
        <row r="60">
          <cell r="H60">
            <v>32183654073.200001</v>
          </cell>
          <cell r="I60">
            <v>0</v>
          </cell>
          <cell r="J60">
            <v>0</v>
          </cell>
          <cell r="K60">
            <v>0</v>
          </cell>
          <cell r="L60">
            <v>0</v>
          </cell>
          <cell r="M60">
            <v>0</v>
          </cell>
          <cell r="R60">
            <v>0</v>
          </cell>
          <cell r="S60">
            <v>0</v>
          </cell>
          <cell r="T60">
            <v>0</v>
          </cell>
          <cell r="U60">
            <v>0</v>
          </cell>
          <cell r="V60">
            <v>0</v>
          </cell>
          <cell r="W60">
            <v>0</v>
          </cell>
          <cell r="X60">
            <v>8045913518.3000002</v>
          </cell>
          <cell r="AK60">
            <v>8045913518.3000002</v>
          </cell>
          <cell r="AX60">
            <v>8045913518.3000002</v>
          </cell>
          <cell r="BK60">
            <v>8045913518.3000002</v>
          </cell>
          <cell r="CB60">
            <v>0</v>
          </cell>
        </row>
        <row r="61">
          <cell r="H61">
            <v>0</v>
          </cell>
          <cell r="I61">
            <v>1681776695.2</v>
          </cell>
          <cell r="J61">
            <v>0</v>
          </cell>
          <cell r="K61">
            <v>0</v>
          </cell>
          <cell r="L61">
            <v>0</v>
          </cell>
          <cell r="M61">
            <v>0</v>
          </cell>
          <cell r="R61">
            <v>0</v>
          </cell>
          <cell r="S61">
            <v>0</v>
          </cell>
          <cell r="T61">
            <v>0</v>
          </cell>
          <cell r="U61">
            <v>0</v>
          </cell>
          <cell r="V61">
            <v>0</v>
          </cell>
          <cell r="W61">
            <v>0</v>
          </cell>
          <cell r="X61">
            <v>420444173.80000001</v>
          </cell>
          <cell r="AK61">
            <v>420444173.80000001</v>
          </cell>
          <cell r="AX61">
            <v>420444173.80000001</v>
          </cell>
          <cell r="BK61">
            <v>420444173.80000001</v>
          </cell>
          <cell r="CB61">
            <v>0</v>
          </cell>
        </row>
        <row r="62">
          <cell r="H62">
            <v>0</v>
          </cell>
          <cell r="I62">
            <v>112131553133</v>
          </cell>
          <cell r="J62">
            <v>0</v>
          </cell>
          <cell r="K62">
            <v>0</v>
          </cell>
          <cell r="L62">
            <v>0</v>
          </cell>
          <cell r="M62">
            <v>0</v>
          </cell>
          <cell r="R62">
            <v>0</v>
          </cell>
          <cell r="S62">
            <v>0</v>
          </cell>
          <cell r="T62">
            <v>0</v>
          </cell>
          <cell r="U62">
            <v>0</v>
          </cell>
          <cell r="V62">
            <v>0</v>
          </cell>
          <cell r="W62">
            <v>0</v>
          </cell>
          <cell r="X62">
            <v>28032888283.25</v>
          </cell>
          <cell r="AK62">
            <v>28032888283.25</v>
          </cell>
          <cell r="AX62">
            <v>28032888283.25</v>
          </cell>
          <cell r="BK62">
            <v>28032888283.25</v>
          </cell>
          <cell r="CB62">
            <v>0</v>
          </cell>
        </row>
        <row r="63">
          <cell r="H63">
            <v>0</v>
          </cell>
          <cell r="I63">
            <v>22472228449</v>
          </cell>
          <cell r="J63">
            <v>0</v>
          </cell>
          <cell r="K63">
            <v>0</v>
          </cell>
          <cell r="L63">
            <v>0</v>
          </cell>
          <cell r="M63">
            <v>0</v>
          </cell>
          <cell r="R63">
            <v>0</v>
          </cell>
          <cell r="S63">
            <v>0</v>
          </cell>
          <cell r="T63">
            <v>0</v>
          </cell>
          <cell r="U63">
            <v>0</v>
          </cell>
          <cell r="V63">
            <v>0</v>
          </cell>
          <cell r="W63">
            <v>0</v>
          </cell>
          <cell r="X63">
            <v>5618057112.25</v>
          </cell>
          <cell r="AK63">
            <v>5618057112.25</v>
          </cell>
          <cell r="AX63">
            <v>5618057112.25</v>
          </cell>
          <cell r="BK63">
            <v>5618057112.25</v>
          </cell>
          <cell r="CB63">
            <v>0</v>
          </cell>
        </row>
        <row r="64">
          <cell r="H64">
            <v>0</v>
          </cell>
          <cell r="I64">
            <v>12849513885.800001</v>
          </cell>
          <cell r="J64">
            <v>0</v>
          </cell>
          <cell r="K64">
            <v>0</v>
          </cell>
          <cell r="L64">
            <v>0</v>
          </cell>
          <cell r="M64">
            <v>0</v>
          </cell>
          <cell r="R64">
            <v>0</v>
          </cell>
          <cell r="S64">
            <v>0</v>
          </cell>
          <cell r="T64">
            <v>0</v>
          </cell>
          <cell r="U64">
            <v>0</v>
          </cell>
          <cell r="V64">
            <v>0</v>
          </cell>
          <cell r="W64">
            <v>0</v>
          </cell>
          <cell r="X64">
            <v>3212378471.4500003</v>
          </cell>
          <cell r="AK64">
            <v>3212378471.4500003</v>
          </cell>
          <cell r="AX64">
            <v>3212378471.4500003</v>
          </cell>
          <cell r="BK64">
            <v>3212378471.4500003</v>
          </cell>
          <cell r="CB64">
            <v>0</v>
          </cell>
        </row>
        <row r="65">
          <cell r="H65">
            <v>230423034699.28</v>
          </cell>
          <cell r="I65">
            <v>5814576435</v>
          </cell>
          <cell r="J65">
            <v>163708200</v>
          </cell>
          <cell r="K65">
            <v>0</v>
          </cell>
          <cell r="L65">
            <v>0</v>
          </cell>
          <cell r="M65">
            <v>0</v>
          </cell>
          <cell r="R65">
            <v>0</v>
          </cell>
          <cell r="S65">
            <v>0</v>
          </cell>
          <cell r="T65">
            <v>0</v>
          </cell>
          <cell r="U65">
            <v>0</v>
          </cell>
          <cell r="V65">
            <v>0</v>
          </cell>
          <cell r="W65">
            <v>0</v>
          </cell>
          <cell r="X65">
            <v>59100329833.57</v>
          </cell>
          <cell r="AK65">
            <v>59100329833.57</v>
          </cell>
          <cell r="AX65">
            <v>59100329833.57</v>
          </cell>
          <cell r="BK65">
            <v>59100329833.57</v>
          </cell>
          <cell r="CB65">
            <v>0</v>
          </cell>
        </row>
        <row r="66">
          <cell r="H66">
            <v>52190683495.599998</v>
          </cell>
          <cell r="I66">
            <v>0</v>
          </cell>
          <cell r="J66">
            <v>163708206</v>
          </cell>
          <cell r="K66">
            <v>0</v>
          </cell>
          <cell r="L66">
            <v>0</v>
          </cell>
          <cell r="M66">
            <v>0</v>
          </cell>
          <cell r="R66">
            <v>0</v>
          </cell>
          <cell r="S66">
            <v>0</v>
          </cell>
          <cell r="T66">
            <v>0</v>
          </cell>
          <cell r="U66">
            <v>0</v>
          </cell>
          <cell r="V66">
            <v>0</v>
          </cell>
          <cell r="W66">
            <v>0</v>
          </cell>
          <cell r="X66">
            <v>13088597925.4</v>
          </cell>
          <cell r="AK66">
            <v>13088597925.4</v>
          </cell>
          <cell r="AX66">
            <v>13088597925.4</v>
          </cell>
          <cell r="BK66">
            <v>13088597925.4</v>
          </cell>
          <cell r="CB66">
            <v>0</v>
          </cell>
        </row>
        <row r="67">
          <cell r="H67">
            <v>1568271017</v>
          </cell>
          <cell r="I67">
            <v>0</v>
          </cell>
          <cell r="J67">
            <v>0</v>
          </cell>
          <cell r="K67">
            <v>0</v>
          </cell>
          <cell r="L67">
            <v>0</v>
          </cell>
          <cell r="M67">
            <v>0</v>
          </cell>
          <cell r="R67">
            <v>0</v>
          </cell>
          <cell r="S67">
            <v>0</v>
          </cell>
          <cell r="T67">
            <v>0</v>
          </cell>
          <cell r="U67">
            <v>0</v>
          </cell>
          <cell r="V67">
            <v>0</v>
          </cell>
          <cell r="W67">
            <v>0</v>
          </cell>
          <cell r="X67">
            <v>392067754.25</v>
          </cell>
          <cell r="AK67">
            <v>392067754.25</v>
          </cell>
          <cell r="AX67">
            <v>392067754.25</v>
          </cell>
          <cell r="BK67">
            <v>392067754.25</v>
          </cell>
          <cell r="CB67">
            <v>0</v>
          </cell>
        </row>
        <row r="68">
          <cell r="H68">
            <v>0</v>
          </cell>
          <cell r="I68">
            <v>1118818400</v>
          </cell>
          <cell r="J68">
            <v>0</v>
          </cell>
          <cell r="K68">
            <v>0</v>
          </cell>
          <cell r="L68">
            <v>0</v>
          </cell>
          <cell r="M68">
            <v>0</v>
          </cell>
          <cell r="R68">
            <v>0</v>
          </cell>
          <cell r="S68">
            <v>0</v>
          </cell>
          <cell r="T68">
            <v>0</v>
          </cell>
          <cell r="U68">
            <v>0</v>
          </cell>
          <cell r="V68">
            <v>0</v>
          </cell>
          <cell r="W68">
            <v>0</v>
          </cell>
          <cell r="X68">
            <v>279704600</v>
          </cell>
          <cell r="AK68">
            <v>279704600</v>
          </cell>
          <cell r="AX68">
            <v>279704600</v>
          </cell>
          <cell r="BK68">
            <v>279704600</v>
          </cell>
          <cell r="CB68">
            <v>0</v>
          </cell>
        </row>
        <row r="69">
          <cell r="H69">
            <v>779542430</v>
          </cell>
          <cell r="I69">
            <v>0</v>
          </cell>
          <cell r="J69">
            <v>0</v>
          </cell>
          <cell r="K69">
            <v>0</v>
          </cell>
          <cell r="L69">
            <v>0</v>
          </cell>
          <cell r="M69">
            <v>0</v>
          </cell>
          <cell r="R69">
            <v>0</v>
          </cell>
          <cell r="S69">
            <v>0</v>
          </cell>
          <cell r="T69">
            <v>0</v>
          </cell>
          <cell r="U69">
            <v>0</v>
          </cell>
          <cell r="V69">
            <v>0</v>
          </cell>
          <cell r="W69">
            <v>0</v>
          </cell>
          <cell r="X69">
            <v>194885607.5</v>
          </cell>
          <cell r="AK69">
            <v>194885607.5</v>
          </cell>
          <cell r="AX69">
            <v>194885607.5</v>
          </cell>
          <cell r="BK69">
            <v>194885607.5</v>
          </cell>
          <cell r="CB69">
            <v>0</v>
          </cell>
        </row>
        <row r="70">
          <cell r="H70">
            <v>17757875246.8964</v>
          </cell>
          <cell r="I70">
            <v>705027305.09260011</v>
          </cell>
          <cell r="J70">
            <v>0</v>
          </cell>
          <cell r="K70">
            <v>0</v>
          </cell>
          <cell r="L70">
            <v>0</v>
          </cell>
          <cell r="M70">
            <v>0</v>
          </cell>
          <cell r="R70">
            <v>0</v>
          </cell>
          <cell r="S70">
            <v>0</v>
          </cell>
          <cell r="T70">
            <v>0</v>
          </cell>
          <cell r="U70">
            <v>0</v>
          </cell>
          <cell r="V70">
            <v>0</v>
          </cell>
          <cell r="W70">
            <v>0</v>
          </cell>
          <cell r="X70">
            <v>4615725637.9972506</v>
          </cell>
          <cell r="AK70">
            <v>4615725637.9972506</v>
          </cell>
          <cell r="AX70">
            <v>4615725637.9972506</v>
          </cell>
          <cell r="BK70">
            <v>4615725637.9972506</v>
          </cell>
          <cell r="CB70">
            <v>0</v>
          </cell>
        </row>
        <row r="71">
          <cell r="H71">
            <v>3349988039.02</v>
          </cell>
          <cell r="I71">
            <v>350000000</v>
          </cell>
          <cell r="J71">
            <v>0</v>
          </cell>
          <cell r="K71">
            <v>0</v>
          </cell>
          <cell r="L71">
            <v>0</v>
          </cell>
          <cell r="M71">
            <v>0</v>
          </cell>
          <cell r="R71">
            <v>0</v>
          </cell>
          <cell r="S71">
            <v>0</v>
          </cell>
          <cell r="T71">
            <v>0</v>
          </cell>
          <cell r="U71">
            <v>0</v>
          </cell>
          <cell r="V71">
            <v>0</v>
          </cell>
          <cell r="W71">
            <v>0</v>
          </cell>
          <cell r="X71">
            <v>924997009.755</v>
          </cell>
          <cell r="AK71">
            <v>924997009.755</v>
          </cell>
          <cell r="AX71">
            <v>924997009.755</v>
          </cell>
          <cell r="BK71">
            <v>924997009.755</v>
          </cell>
          <cell r="CB71">
            <v>0</v>
          </cell>
        </row>
        <row r="72">
          <cell r="H72">
            <v>2714602636.04</v>
          </cell>
          <cell r="I72">
            <v>0</v>
          </cell>
          <cell r="J72">
            <v>0</v>
          </cell>
          <cell r="K72">
            <v>0</v>
          </cell>
          <cell r="L72">
            <v>0</v>
          </cell>
          <cell r="M72">
            <v>0</v>
          </cell>
          <cell r="R72">
            <v>0</v>
          </cell>
          <cell r="S72">
            <v>0</v>
          </cell>
          <cell r="T72">
            <v>0</v>
          </cell>
          <cell r="U72">
            <v>0</v>
          </cell>
          <cell r="V72">
            <v>0</v>
          </cell>
          <cell r="W72">
            <v>0</v>
          </cell>
          <cell r="X72">
            <v>678650659.00999999</v>
          </cell>
          <cell r="AK72">
            <v>678650659.00999999</v>
          </cell>
          <cell r="AX72">
            <v>678650659.00999999</v>
          </cell>
          <cell r="BK72">
            <v>678650659.00999999</v>
          </cell>
          <cell r="CB72">
            <v>0</v>
          </cell>
        </row>
        <row r="73">
          <cell r="H73">
            <v>0</v>
          </cell>
          <cell r="I73">
            <v>2184900000.0900002</v>
          </cell>
          <cell r="J73">
            <v>0</v>
          </cell>
          <cell r="K73">
            <v>0</v>
          </cell>
          <cell r="L73">
            <v>0</v>
          </cell>
          <cell r="M73">
            <v>0</v>
          </cell>
          <cell r="R73">
            <v>0</v>
          </cell>
          <cell r="S73">
            <v>0</v>
          </cell>
          <cell r="T73">
            <v>0</v>
          </cell>
          <cell r="U73">
            <v>0</v>
          </cell>
          <cell r="V73">
            <v>0</v>
          </cell>
          <cell r="W73">
            <v>0</v>
          </cell>
          <cell r="X73">
            <v>546225000.02250004</v>
          </cell>
          <cell r="AK73">
            <v>546225000.02250004</v>
          </cell>
          <cell r="AX73">
            <v>546225000.02250004</v>
          </cell>
          <cell r="BK73">
            <v>546225000.02250004</v>
          </cell>
          <cell r="CB73">
            <v>0</v>
          </cell>
        </row>
        <row r="74">
          <cell r="H74">
            <v>0</v>
          </cell>
          <cell r="I74">
            <v>6549591800</v>
          </cell>
          <cell r="J74">
            <v>0</v>
          </cell>
          <cell r="K74">
            <v>0</v>
          </cell>
          <cell r="L74">
            <v>0</v>
          </cell>
          <cell r="M74">
            <v>0</v>
          </cell>
          <cell r="R74">
            <v>0</v>
          </cell>
          <cell r="S74">
            <v>0</v>
          </cell>
          <cell r="T74">
            <v>0</v>
          </cell>
          <cell r="U74">
            <v>0</v>
          </cell>
          <cell r="V74">
            <v>0</v>
          </cell>
          <cell r="W74">
            <v>0</v>
          </cell>
          <cell r="X74">
            <v>1637397950</v>
          </cell>
          <cell r="AK74">
            <v>1637397950</v>
          </cell>
          <cell r="AX74">
            <v>1637397950</v>
          </cell>
          <cell r="BK74">
            <v>1637397950</v>
          </cell>
          <cell r="CB74">
            <v>0</v>
          </cell>
        </row>
        <row r="75">
          <cell r="H75">
            <v>0</v>
          </cell>
          <cell r="I75">
            <v>6355699000</v>
          </cell>
          <cell r="J75">
            <v>0</v>
          </cell>
          <cell r="K75">
            <v>0</v>
          </cell>
          <cell r="L75">
            <v>0</v>
          </cell>
          <cell r="M75">
            <v>0</v>
          </cell>
          <cell r="R75">
            <v>0</v>
          </cell>
          <cell r="S75">
            <v>0</v>
          </cell>
          <cell r="T75">
            <v>0</v>
          </cell>
          <cell r="U75">
            <v>0</v>
          </cell>
          <cell r="V75">
            <v>0</v>
          </cell>
          <cell r="W75">
            <v>0</v>
          </cell>
          <cell r="X75">
            <v>1588924750</v>
          </cell>
          <cell r="AK75">
            <v>1588924750</v>
          </cell>
          <cell r="AX75">
            <v>1588924750</v>
          </cell>
          <cell r="BK75">
            <v>1588924750</v>
          </cell>
          <cell r="CB75">
            <v>0</v>
          </cell>
        </row>
        <row r="76">
          <cell r="H76">
            <v>327510526.23983598</v>
          </cell>
          <cell r="I76">
            <v>38000000.002000198</v>
          </cell>
          <cell r="J76">
            <v>0</v>
          </cell>
          <cell r="K76">
            <v>0</v>
          </cell>
          <cell r="L76">
            <v>0</v>
          </cell>
          <cell r="M76">
            <v>0</v>
          </cell>
          <cell r="R76">
            <v>0</v>
          </cell>
          <cell r="S76">
            <v>0</v>
          </cell>
          <cell r="T76">
            <v>0</v>
          </cell>
          <cell r="U76">
            <v>0</v>
          </cell>
          <cell r="V76">
            <v>0</v>
          </cell>
          <cell r="W76">
            <v>0</v>
          </cell>
          <cell r="X76">
            <v>91377631.560459048</v>
          </cell>
          <cell r="AK76">
            <v>91377631.560459048</v>
          </cell>
          <cell r="AX76">
            <v>91377631.560459048</v>
          </cell>
          <cell r="BK76">
            <v>91377631.560459048</v>
          </cell>
          <cell r="CB76">
            <v>0</v>
          </cell>
        </row>
        <row r="77">
          <cell r="H77">
            <v>0</v>
          </cell>
          <cell r="I77">
            <v>5400000000</v>
          </cell>
          <cell r="J77">
            <v>0</v>
          </cell>
          <cell r="K77">
            <v>0</v>
          </cell>
          <cell r="L77">
            <v>0</v>
          </cell>
          <cell r="M77">
            <v>0</v>
          </cell>
          <cell r="R77">
            <v>0</v>
          </cell>
          <cell r="S77">
            <v>0</v>
          </cell>
          <cell r="T77">
            <v>0</v>
          </cell>
          <cell r="U77">
            <v>0</v>
          </cell>
          <cell r="V77">
            <v>0</v>
          </cell>
          <cell r="W77">
            <v>0</v>
          </cell>
          <cell r="X77">
            <v>1350000000</v>
          </cell>
          <cell r="AK77">
            <v>1350000000</v>
          </cell>
          <cell r="AX77">
            <v>1350000000</v>
          </cell>
          <cell r="BK77">
            <v>1350000000</v>
          </cell>
          <cell r="CB77">
            <v>0</v>
          </cell>
        </row>
        <row r="78">
          <cell r="H78">
            <v>11764319600</v>
          </cell>
          <cell r="I78">
            <v>0</v>
          </cell>
          <cell r="J78">
            <v>0</v>
          </cell>
          <cell r="K78">
            <v>0</v>
          </cell>
          <cell r="L78">
            <v>0</v>
          </cell>
          <cell r="M78">
            <v>0</v>
          </cell>
          <cell r="R78">
            <v>0</v>
          </cell>
          <cell r="S78">
            <v>0</v>
          </cell>
          <cell r="T78">
            <v>0</v>
          </cell>
          <cell r="U78">
            <v>0</v>
          </cell>
          <cell r="V78">
            <v>0</v>
          </cell>
          <cell r="W78">
            <v>0</v>
          </cell>
          <cell r="X78">
            <v>2941079900</v>
          </cell>
          <cell r="AK78">
            <v>2941079900</v>
          </cell>
          <cell r="AX78">
            <v>2941079900</v>
          </cell>
          <cell r="BK78">
            <v>2941079900</v>
          </cell>
          <cell r="CB78">
            <v>0</v>
          </cell>
        </row>
        <row r="79">
          <cell r="H79">
            <v>22705144756.599998</v>
          </cell>
          <cell r="I79">
            <v>0</v>
          </cell>
          <cell r="J79">
            <v>0</v>
          </cell>
          <cell r="K79">
            <v>0</v>
          </cell>
          <cell r="L79">
            <v>0</v>
          </cell>
          <cell r="M79">
            <v>0</v>
          </cell>
          <cell r="R79">
            <v>0</v>
          </cell>
          <cell r="S79">
            <v>0</v>
          </cell>
          <cell r="T79">
            <v>0</v>
          </cell>
          <cell r="U79">
            <v>0</v>
          </cell>
          <cell r="V79">
            <v>0</v>
          </cell>
          <cell r="W79">
            <v>0</v>
          </cell>
          <cell r="X79">
            <v>5676286189.1499996</v>
          </cell>
          <cell r="AK79">
            <v>5676286189.1499996</v>
          </cell>
          <cell r="AX79">
            <v>5676286189.1499996</v>
          </cell>
          <cell r="BK79">
            <v>5676286189.1499996</v>
          </cell>
          <cell r="CB79">
            <v>0</v>
          </cell>
        </row>
        <row r="80">
          <cell r="H80">
            <v>3798738364</v>
          </cell>
          <cell r="I80">
            <v>0</v>
          </cell>
          <cell r="J80">
            <v>0</v>
          </cell>
          <cell r="K80">
            <v>0</v>
          </cell>
          <cell r="L80">
            <v>0</v>
          </cell>
          <cell r="M80">
            <v>0</v>
          </cell>
          <cell r="R80">
            <v>0</v>
          </cell>
          <cell r="S80">
            <v>0</v>
          </cell>
          <cell r="T80">
            <v>0</v>
          </cell>
          <cell r="U80">
            <v>0</v>
          </cell>
          <cell r="V80">
            <v>0</v>
          </cell>
          <cell r="W80">
            <v>0</v>
          </cell>
          <cell r="X80">
            <v>949684591</v>
          </cell>
          <cell r="AK80">
            <v>949684591</v>
          </cell>
          <cell r="AX80">
            <v>949684591</v>
          </cell>
          <cell r="BK80">
            <v>949684591</v>
          </cell>
          <cell r="CB80">
            <v>0</v>
          </cell>
        </row>
        <row r="81">
          <cell r="H81">
            <v>3158269686</v>
          </cell>
          <cell r="I81">
            <v>543430314</v>
          </cell>
          <cell r="J81">
            <v>0</v>
          </cell>
          <cell r="K81">
            <v>0</v>
          </cell>
          <cell r="L81">
            <v>0</v>
          </cell>
          <cell r="M81">
            <v>0</v>
          </cell>
          <cell r="R81">
            <v>0</v>
          </cell>
          <cell r="S81">
            <v>0</v>
          </cell>
          <cell r="T81">
            <v>0</v>
          </cell>
          <cell r="U81">
            <v>0</v>
          </cell>
          <cell r="V81">
            <v>0</v>
          </cell>
          <cell r="W81">
            <v>0</v>
          </cell>
          <cell r="X81">
            <v>925425000</v>
          </cell>
          <cell r="AK81">
            <v>925425000</v>
          </cell>
          <cell r="AX81">
            <v>925425000</v>
          </cell>
          <cell r="BK81">
            <v>925425000</v>
          </cell>
          <cell r="CB81">
            <v>0</v>
          </cell>
        </row>
        <row r="82">
          <cell r="H82">
            <v>201035576</v>
          </cell>
          <cell r="I82">
            <v>1014000000</v>
          </cell>
          <cell r="J82">
            <v>0</v>
          </cell>
          <cell r="K82">
            <v>0</v>
          </cell>
          <cell r="L82">
            <v>0</v>
          </cell>
          <cell r="M82">
            <v>0</v>
          </cell>
          <cell r="R82">
            <v>0</v>
          </cell>
          <cell r="S82">
            <v>0</v>
          </cell>
          <cell r="T82">
            <v>0</v>
          </cell>
          <cell r="U82">
            <v>0</v>
          </cell>
          <cell r="V82">
            <v>0</v>
          </cell>
          <cell r="W82">
            <v>0</v>
          </cell>
          <cell r="X82">
            <v>303758894</v>
          </cell>
          <cell r="AK82">
            <v>303758894</v>
          </cell>
          <cell r="AX82">
            <v>303758894</v>
          </cell>
          <cell r="BK82">
            <v>303758894</v>
          </cell>
          <cell r="CB82">
            <v>0</v>
          </cell>
        </row>
        <row r="83">
          <cell r="H83">
            <v>3965680000</v>
          </cell>
          <cell r="I83">
            <v>0</v>
          </cell>
          <cell r="J83">
            <v>0</v>
          </cell>
          <cell r="K83">
            <v>0</v>
          </cell>
          <cell r="L83">
            <v>0</v>
          </cell>
          <cell r="M83">
            <v>0</v>
          </cell>
          <cell r="R83">
            <v>0</v>
          </cell>
          <cell r="S83">
            <v>0</v>
          </cell>
          <cell r="T83">
            <v>0</v>
          </cell>
          <cell r="U83">
            <v>0</v>
          </cell>
          <cell r="V83">
            <v>0</v>
          </cell>
          <cell r="W83">
            <v>0</v>
          </cell>
          <cell r="X83">
            <v>991420000</v>
          </cell>
          <cell r="AK83">
            <v>991420000</v>
          </cell>
          <cell r="AX83">
            <v>991420000</v>
          </cell>
          <cell r="BK83">
            <v>991420000</v>
          </cell>
          <cell r="CB83">
            <v>0</v>
          </cell>
        </row>
        <row r="84">
          <cell r="H84">
            <v>952000000</v>
          </cell>
          <cell r="I84">
            <v>0</v>
          </cell>
          <cell r="J84">
            <v>0</v>
          </cell>
          <cell r="K84">
            <v>0</v>
          </cell>
          <cell r="L84">
            <v>0</v>
          </cell>
          <cell r="M84">
            <v>0</v>
          </cell>
          <cell r="R84">
            <v>0</v>
          </cell>
          <cell r="S84">
            <v>0</v>
          </cell>
          <cell r="T84">
            <v>0</v>
          </cell>
          <cell r="U84">
            <v>0</v>
          </cell>
          <cell r="V84">
            <v>0</v>
          </cell>
          <cell r="W84">
            <v>0</v>
          </cell>
          <cell r="X84">
            <v>238000000</v>
          </cell>
          <cell r="AK84">
            <v>238000000</v>
          </cell>
          <cell r="AX84">
            <v>238000000</v>
          </cell>
          <cell r="BK84">
            <v>238000000</v>
          </cell>
          <cell r="CB84">
            <v>0</v>
          </cell>
        </row>
        <row r="85">
          <cell r="H85">
            <v>758815588</v>
          </cell>
          <cell r="I85">
            <v>0</v>
          </cell>
          <cell r="J85">
            <v>0</v>
          </cell>
          <cell r="K85">
            <v>0</v>
          </cell>
          <cell r="L85">
            <v>0</v>
          </cell>
          <cell r="M85">
            <v>0</v>
          </cell>
          <cell r="R85">
            <v>0</v>
          </cell>
          <cell r="S85">
            <v>0</v>
          </cell>
          <cell r="T85">
            <v>0</v>
          </cell>
          <cell r="U85">
            <v>0</v>
          </cell>
          <cell r="V85">
            <v>0</v>
          </cell>
          <cell r="W85">
            <v>0</v>
          </cell>
          <cell r="X85">
            <v>189703897</v>
          </cell>
          <cell r="AK85">
            <v>189703897</v>
          </cell>
          <cell r="AX85">
            <v>189703897</v>
          </cell>
          <cell r="BK85">
            <v>189703897</v>
          </cell>
          <cell r="CB85">
            <v>0</v>
          </cell>
        </row>
        <row r="86">
          <cell r="H86">
            <v>0</v>
          </cell>
          <cell r="I86">
            <v>1160400000</v>
          </cell>
          <cell r="J86">
            <v>0</v>
          </cell>
          <cell r="K86">
            <v>0</v>
          </cell>
          <cell r="L86">
            <v>0</v>
          </cell>
          <cell r="M86">
            <v>0</v>
          </cell>
          <cell r="R86">
            <v>0</v>
          </cell>
          <cell r="S86">
            <v>0</v>
          </cell>
          <cell r="T86">
            <v>0</v>
          </cell>
          <cell r="U86">
            <v>0</v>
          </cell>
          <cell r="V86">
            <v>0</v>
          </cell>
          <cell r="W86">
            <v>0</v>
          </cell>
          <cell r="X86">
            <v>290100000</v>
          </cell>
          <cell r="AK86">
            <v>290100000</v>
          </cell>
          <cell r="AX86">
            <v>290100000</v>
          </cell>
          <cell r="BK86">
            <v>290100000</v>
          </cell>
          <cell r="CB86">
            <v>0</v>
          </cell>
        </row>
        <row r="87">
          <cell r="H87">
            <v>4088311832.5553212</v>
          </cell>
          <cell r="I87">
            <v>602488167.44064212</v>
          </cell>
          <cell r="J87">
            <v>0</v>
          </cell>
          <cell r="K87">
            <v>0</v>
          </cell>
          <cell r="L87">
            <v>0</v>
          </cell>
          <cell r="M87">
            <v>0</v>
          </cell>
          <cell r="R87">
            <v>0</v>
          </cell>
          <cell r="S87">
            <v>0</v>
          </cell>
          <cell r="T87">
            <v>0</v>
          </cell>
          <cell r="U87">
            <v>0</v>
          </cell>
          <cell r="V87">
            <v>0</v>
          </cell>
          <cell r="W87">
            <v>0</v>
          </cell>
          <cell r="X87">
            <v>1172699999.9989908</v>
          </cell>
          <cell r="AK87">
            <v>1172699999.9989908</v>
          </cell>
          <cell r="AX87">
            <v>1172699999.9989908</v>
          </cell>
          <cell r="BK87">
            <v>1172699999.9989908</v>
          </cell>
          <cell r="CB87">
            <v>0</v>
          </cell>
        </row>
        <row r="88">
          <cell r="H88">
            <v>1863247706.4396338</v>
          </cell>
          <cell r="I88">
            <v>1521652293.5603671</v>
          </cell>
          <cell r="J88">
            <v>0</v>
          </cell>
          <cell r="K88">
            <v>0</v>
          </cell>
          <cell r="L88">
            <v>0</v>
          </cell>
          <cell r="M88">
            <v>0</v>
          </cell>
          <cell r="R88">
            <v>0</v>
          </cell>
          <cell r="S88">
            <v>0</v>
          </cell>
          <cell r="T88">
            <v>0</v>
          </cell>
          <cell r="U88">
            <v>0</v>
          </cell>
          <cell r="V88">
            <v>0</v>
          </cell>
          <cell r="W88">
            <v>0</v>
          </cell>
          <cell r="X88">
            <v>846225000.00000024</v>
          </cell>
          <cell r="AK88">
            <v>846225000.00000024</v>
          </cell>
          <cell r="AX88">
            <v>846225000.00000024</v>
          </cell>
          <cell r="BK88">
            <v>846225000.00000024</v>
          </cell>
          <cell r="CB88">
            <v>0</v>
          </cell>
        </row>
        <row r="89">
          <cell r="H89">
            <v>3094686031.43999</v>
          </cell>
          <cell r="I89">
            <v>0</v>
          </cell>
          <cell r="J89">
            <v>0</v>
          </cell>
          <cell r="K89">
            <v>0</v>
          </cell>
          <cell r="L89">
            <v>0</v>
          </cell>
          <cell r="M89">
            <v>0</v>
          </cell>
          <cell r="R89">
            <v>0</v>
          </cell>
          <cell r="S89">
            <v>0</v>
          </cell>
          <cell r="T89">
            <v>0</v>
          </cell>
          <cell r="U89">
            <v>0</v>
          </cell>
          <cell r="V89">
            <v>0</v>
          </cell>
          <cell r="W89">
            <v>0</v>
          </cell>
          <cell r="X89">
            <v>773671507.85999751</v>
          </cell>
          <cell r="AK89">
            <v>773671507.85999751</v>
          </cell>
          <cell r="AX89">
            <v>773671507.85999751</v>
          </cell>
          <cell r="BK89">
            <v>773671507.85999751</v>
          </cell>
          <cell r="CB89">
            <v>0</v>
          </cell>
        </row>
        <row r="90">
          <cell r="H90">
            <v>3552215075</v>
          </cell>
          <cell r="I90">
            <v>0</v>
          </cell>
          <cell r="J90">
            <v>0</v>
          </cell>
          <cell r="K90">
            <v>0</v>
          </cell>
          <cell r="L90">
            <v>0</v>
          </cell>
          <cell r="M90">
            <v>0</v>
          </cell>
          <cell r="R90">
            <v>0</v>
          </cell>
          <cell r="S90">
            <v>0</v>
          </cell>
          <cell r="T90">
            <v>0</v>
          </cell>
          <cell r="U90">
            <v>0</v>
          </cell>
          <cell r="V90">
            <v>0</v>
          </cell>
          <cell r="W90">
            <v>0</v>
          </cell>
          <cell r="X90">
            <v>888053768.75</v>
          </cell>
          <cell r="AK90">
            <v>888053768.75</v>
          </cell>
          <cell r="AX90">
            <v>888053768.75</v>
          </cell>
          <cell r="BK90">
            <v>888053768.75</v>
          </cell>
          <cell r="CB90">
            <v>0</v>
          </cell>
        </row>
        <row r="91">
          <cell r="H91">
            <v>3282674203.02</v>
          </cell>
          <cell r="I91">
            <v>0</v>
          </cell>
          <cell r="J91">
            <v>0</v>
          </cell>
          <cell r="K91">
            <v>0</v>
          </cell>
          <cell r="L91">
            <v>0</v>
          </cell>
          <cell r="M91">
            <v>0</v>
          </cell>
          <cell r="R91">
            <v>0</v>
          </cell>
          <cell r="S91">
            <v>0</v>
          </cell>
          <cell r="T91">
            <v>0</v>
          </cell>
          <cell r="U91">
            <v>0</v>
          </cell>
          <cell r="V91">
            <v>0</v>
          </cell>
          <cell r="W91">
            <v>0</v>
          </cell>
          <cell r="X91">
            <v>820668550.755</v>
          </cell>
          <cell r="AK91">
            <v>820668550.755</v>
          </cell>
          <cell r="AX91">
            <v>820668550.755</v>
          </cell>
          <cell r="BK91">
            <v>820668550.755</v>
          </cell>
          <cell r="CB91">
            <v>0</v>
          </cell>
        </row>
        <row r="92">
          <cell r="H92">
            <v>4138988105</v>
          </cell>
          <cell r="I92">
            <v>0</v>
          </cell>
          <cell r="J92">
            <v>0</v>
          </cell>
          <cell r="K92">
            <v>0</v>
          </cell>
          <cell r="L92">
            <v>0</v>
          </cell>
          <cell r="M92">
            <v>0</v>
          </cell>
          <cell r="R92">
            <v>0</v>
          </cell>
          <cell r="S92">
            <v>0</v>
          </cell>
          <cell r="T92">
            <v>0</v>
          </cell>
          <cell r="U92">
            <v>0</v>
          </cell>
          <cell r="V92">
            <v>0</v>
          </cell>
          <cell r="W92">
            <v>0</v>
          </cell>
          <cell r="X92">
            <v>1034747026.25</v>
          </cell>
          <cell r="AK92">
            <v>1034747026.25</v>
          </cell>
          <cell r="AX92">
            <v>1034747026.25</v>
          </cell>
          <cell r="BK92">
            <v>1034747026.25</v>
          </cell>
          <cell r="CB92">
            <v>0</v>
          </cell>
        </row>
        <row r="93">
          <cell r="H93">
            <v>4578054306.8800001</v>
          </cell>
          <cell r="I93">
            <v>0</v>
          </cell>
          <cell r="J93">
            <v>0</v>
          </cell>
          <cell r="K93">
            <v>0</v>
          </cell>
          <cell r="L93">
            <v>0</v>
          </cell>
          <cell r="M93">
            <v>0</v>
          </cell>
          <cell r="R93">
            <v>0</v>
          </cell>
          <cell r="S93">
            <v>0</v>
          </cell>
          <cell r="T93">
            <v>0</v>
          </cell>
          <cell r="U93">
            <v>0</v>
          </cell>
          <cell r="V93">
            <v>0</v>
          </cell>
          <cell r="W93">
            <v>0</v>
          </cell>
          <cell r="X93">
            <v>1144513576.72</v>
          </cell>
          <cell r="AK93">
            <v>1144513576.72</v>
          </cell>
          <cell r="AX93">
            <v>1144513576.72</v>
          </cell>
          <cell r="BK93">
            <v>1144513576.72</v>
          </cell>
          <cell r="CB93">
            <v>0</v>
          </cell>
        </row>
        <row r="94">
          <cell r="H94">
            <v>2718513365.8600001</v>
          </cell>
          <cell r="I94">
            <v>0</v>
          </cell>
          <cell r="J94">
            <v>0</v>
          </cell>
          <cell r="K94">
            <v>0</v>
          </cell>
          <cell r="L94">
            <v>0</v>
          </cell>
          <cell r="M94">
            <v>0</v>
          </cell>
          <cell r="R94">
            <v>0</v>
          </cell>
          <cell r="S94">
            <v>0</v>
          </cell>
          <cell r="T94">
            <v>0</v>
          </cell>
          <cell r="U94">
            <v>0</v>
          </cell>
          <cell r="V94">
            <v>0</v>
          </cell>
          <cell r="W94">
            <v>0</v>
          </cell>
          <cell r="X94">
            <v>679628341.46500003</v>
          </cell>
          <cell r="AK94">
            <v>679628341.46500003</v>
          </cell>
          <cell r="AX94">
            <v>679628341.46500003</v>
          </cell>
          <cell r="BK94">
            <v>679628341.46500003</v>
          </cell>
          <cell r="CB94">
            <v>0</v>
          </cell>
        </row>
        <row r="95">
          <cell r="H95">
            <v>2824865218.4399996</v>
          </cell>
          <cell r="I95">
            <v>0</v>
          </cell>
          <cell r="J95">
            <v>0</v>
          </cell>
          <cell r="K95">
            <v>0</v>
          </cell>
          <cell r="L95">
            <v>0</v>
          </cell>
          <cell r="M95">
            <v>0</v>
          </cell>
          <cell r="R95">
            <v>0</v>
          </cell>
          <cell r="S95">
            <v>0</v>
          </cell>
          <cell r="T95">
            <v>0</v>
          </cell>
          <cell r="U95">
            <v>0</v>
          </cell>
          <cell r="V95">
            <v>0</v>
          </cell>
          <cell r="W95">
            <v>0</v>
          </cell>
          <cell r="X95">
            <v>706216304.6099999</v>
          </cell>
          <cell r="AK95">
            <v>706216304.6099999</v>
          </cell>
          <cell r="AX95">
            <v>706216304.6099999</v>
          </cell>
          <cell r="BK95">
            <v>706216304.6099999</v>
          </cell>
          <cell r="CB95">
            <v>0</v>
          </cell>
        </row>
        <row r="96">
          <cell r="H96">
            <v>3945850744</v>
          </cell>
          <cell r="I96">
            <v>0</v>
          </cell>
          <cell r="J96">
            <v>0</v>
          </cell>
          <cell r="K96">
            <v>0</v>
          </cell>
          <cell r="L96">
            <v>0</v>
          </cell>
          <cell r="M96">
            <v>0</v>
          </cell>
          <cell r="R96">
            <v>0</v>
          </cell>
          <cell r="S96">
            <v>0</v>
          </cell>
          <cell r="T96">
            <v>0</v>
          </cell>
          <cell r="U96">
            <v>0</v>
          </cell>
          <cell r="V96">
            <v>0</v>
          </cell>
          <cell r="W96">
            <v>0</v>
          </cell>
          <cell r="X96">
            <v>986462686</v>
          </cell>
          <cell r="AK96">
            <v>986462686</v>
          </cell>
          <cell r="AX96">
            <v>986462686</v>
          </cell>
          <cell r="BK96">
            <v>986462686</v>
          </cell>
          <cell r="CB96">
            <v>0</v>
          </cell>
        </row>
        <row r="97">
          <cell r="H97">
            <v>2790615576</v>
          </cell>
          <cell r="I97">
            <v>0</v>
          </cell>
          <cell r="J97">
            <v>0</v>
          </cell>
          <cell r="K97">
            <v>0</v>
          </cell>
          <cell r="L97">
            <v>0</v>
          </cell>
          <cell r="M97">
            <v>0</v>
          </cell>
          <cell r="R97">
            <v>0</v>
          </cell>
          <cell r="S97">
            <v>0</v>
          </cell>
          <cell r="T97">
            <v>0</v>
          </cell>
          <cell r="U97">
            <v>0</v>
          </cell>
          <cell r="V97">
            <v>0</v>
          </cell>
          <cell r="W97">
            <v>0</v>
          </cell>
          <cell r="X97">
            <v>697653894</v>
          </cell>
          <cell r="AK97">
            <v>697653894</v>
          </cell>
          <cell r="AX97">
            <v>697653894</v>
          </cell>
          <cell r="BK97">
            <v>697653894</v>
          </cell>
          <cell r="CB97">
            <v>0</v>
          </cell>
        </row>
        <row r="98">
          <cell r="H98">
            <v>3227162022</v>
          </cell>
          <cell r="I98">
            <v>0</v>
          </cell>
          <cell r="J98">
            <v>0</v>
          </cell>
          <cell r="K98">
            <v>0</v>
          </cell>
          <cell r="L98">
            <v>0</v>
          </cell>
          <cell r="M98">
            <v>0</v>
          </cell>
          <cell r="R98">
            <v>0</v>
          </cell>
          <cell r="S98">
            <v>0</v>
          </cell>
          <cell r="T98">
            <v>0</v>
          </cell>
          <cell r="U98">
            <v>0</v>
          </cell>
          <cell r="V98">
            <v>0</v>
          </cell>
          <cell r="W98">
            <v>0</v>
          </cell>
          <cell r="X98">
            <v>806790505.5</v>
          </cell>
          <cell r="AK98">
            <v>806790505.5</v>
          </cell>
          <cell r="AX98">
            <v>806790505.5</v>
          </cell>
          <cell r="BK98">
            <v>806790505.5</v>
          </cell>
          <cell r="CB98">
            <v>0</v>
          </cell>
        </row>
        <row r="99">
          <cell r="H99">
            <v>3399398031</v>
          </cell>
          <cell r="I99">
            <v>0</v>
          </cell>
          <cell r="J99">
            <v>0</v>
          </cell>
          <cell r="K99">
            <v>0</v>
          </cell>
          <cell r="L99">
            <v>0</v>
          </cell>
          <cell r="M99">
            <v>0</v>
          </cell>
          <cell r="R99">
            <v>0</v>
          </cell>
          <cell r="S99">
            <v>0</v>
          </cell>
          <cell r="T99">
            <v>0</v>
          </cell>
          <cell r="U99">
            <v>0</v>
          </cell>
          <cell r="V99">
            <v>0</v>
          </cell>
          <cell r="W99">
            <v>0</v>
          </cell>
          <cell r="X99">
            <v>849849507.75</v>
          </cell>
          <cell r="AK99">
            <v>849849507.75</v>
          </cell>
          <cell r="AX99">
            <v>849849507.75</v>
          </cell>
          <cell r="BK99">
            <v>849849507.75</v>
          </cell>
          <cell r="CB99">
            <v>0</v>
          </cell>
        </row>
        <row r="100">
          <cell r="H100">
            <v>3438719012.04</v>
          </cell>
          <cell r="I100">
            <v>0</v>
          </cell>
          <cell r="J100">
            <v>0</v>
          </cell>
          <cell r="K100">
            <v>0</v>
          </cell>
          <cell r="L100">
            <v>0</v>
          </cell>
          <cell r="M100">
            <v>0</v>
          </cell>
          <cell r="R100">
            <v>0</v>
          </cell>
          <cell r="S100">
            <v>0</v>
          </cell>
          <cell r="T100">
            <v>0</v>
          </cell>
          <cell r="U100">
            <v>0</v>
          </cell>
          <cell r="V100">
            <v>0</v>
          </cell>
          <cell r="W100">
            <v>0</v>
          </cell>
          <cell r="X100">
            <v>859679753.00999999</v>
          </cell>
          <cell r="AK100">
            <v>859679753.00999999</v>
          </cell>
          <cell r="AX100">
            <v>859679753.00999999</v>
          </cell>
          <cell r="BK100">
            <v>859679753.00999999</v>
          </cell>
          <cell r="CB100">
            <v>0</v>
          </cell>
        </row>
        <row r="101">
          <cell r="H101">
            <v>2827342327.8000002</v>
          </cell>
          <cell r="I101">
            <v>0</v>
          </cell>
          <cell r="J101">
            <v>0</v>
          </cell>
          <cell r="K101">
            <v>0</v>
          </cell>
          <cell r="L101">
            <v>0</v>
          </cell>
          <cell r="M101">
            <v>0</v>
          </cell>
          <cell r="R101">
            <v>0</v>
          </cell>
          <cell r="S101">
            <v>0</v>
          </cell>
          <cell r="T101">
            <v>0</v>
          </cell>
          <cell r="U101">
            <v>0</v>
          </cell>
          <cell r="V101">
            <v>0</v>
          </cell>
          <cell r="W101">
            <v>0</v>
          </cell>
          <cell r="X101">
            <v>706835581.95000005</v>
          </cell>
          <cell r="AK101">
            <v>706835581.95000005</v>
          </cell>
          <cell r="AX101">
            <v>706835581.95000005</v>
          </cell>
          <cell r="BK101">
            <v>706835581.95000005</v>
          </cell>
          <cell r="CB101">
            <v>0</v>
          </cell>
        </row>
        <row r="102">
          <cell r="H102">
            <v>4246452193</v>
          </cell>
          <cell r="I102">
            <v>0</v>
          </cell>
          <cell r="J102">
            <v>0</v>
          </cell>
          <cell r="K102">
            <v>0</v>
          </cell>
          <cell r="L102">
            <v>0</v>
          </cell>
          <cell r="M102">
            <v>0</v>
          </cell>
          <cell r="R102">
            <v>0</v>
          </cell>
          <cell r="S102">
            <v>0</v>
          </cell>
          <cell r="T102">
            <v>0</v>
          </cell>
          <cell r="U102">
            <v>0</v>
          </cell>
          <cell r="V102">
            <v>0</v>
          </cell>
          <cell r="W102">
            <v>0</v>
          </cell>
          <cell r="X102">
            <v>1061613048.25</v>
          </cell>
          <cell r="AK102">
            <v>1061613048.25</v>
          </cell>
          <cell r="AX102">
            <v>1061613048.25</v>
          </cell>
          <cell r="BK102">
            <v>1061613048.25</v>
          </cell>
          <cell r="CB102">
            <v>0</v>
          </cell>
        </row>
        <row r="103">
          <cell r="H103">
            <v>0</v>
          </cell>
          <cell r="I103">
            <v>0</v>
          </cell>
          <cell r="J103">
            <v>0</v>
          </cell>
          <cell r="K103">
            <v>1951317368</v>
          </cell>
          <cell r="L103">
            <v>0</v>
          </cell>
          <cell r="M103">
            <v>0</v>
          </cell>
          <cell r="R103">
            <v>0</v>
          </cell>
          <cell r="S103">
            <v>0</v>
          </cell>
          <cell r="T103">
            <v>0</v>
          </cell>
          <cell r="U103">
            <v>0</v>
          </cell>
          <cell r="V103">
            <v>0</v>
          </cell>
          <cell r="W103">
            <v>0</v>
          </cell>
          <cell r="X103">
            <v>487829342</v>
          </cell>
          <cell r="AK103">
            <v>487829342</v>
          </cell>
          <cell r="AX103">
            <v>487829342</v>
          </cell>
          <cell r="BK103">
            <v>487829342</v>
          </cell>
          <cell r="CB103">
            <v>0</v>
          </cell>
        </row>
        <row r="104">
          <cell r="H104">
            <v>0</v>
          </cell>
          <cell r="I104">
            <v>0</v>
          </cell>
          <cell r="J104">
            <v>0</v>
          </cell>
          <cell r="K104">
            <v>1299723224</v>
          </cell>
          <cell r="L104">
            <v>0</v>
          </cell>
          <cell r="M104">
            <v>0</v>
          </cell>
          <cell r="R104">
            <v>0</v>
          </cell>
          <cell r="S104">
            <v>0</v>
          </cell>
          <cell r="T104">
            <v>0</v>
          </cell>
          <cell r="U104">
            <v>0</v>
          </cell>
          <cell r="V104">
            <v>0</v>
          </cell>
          <cell r="W104">
            <v>0</v>
          </cell>
          <cell r="X104">
            <v>324930806</v>
          </cell>
          <cell r="AK104">
            <v>324930806</v>
          </cell>
          <cell r="AX104">
            <v>324930806</v>
          </cell>
          <cell r="BK104">
            <v>324930806</v>
          </cell>
          <cell r="CB104">
            <v>0</v>
          </cell>
        </row>
        <row r="105">
          <cell r="H105">
            <v>0</v>
          </cell>
          <cell r="I105">
            <v>0</v>
          </cell>
          <cell r="J105">
            <v>0</v>
          </cell>
          <cell r="K105">
            <v>971934797</v>
          </cell>
          <cell r="L105">
            <v>0</v>
          </cell>
          <cell r="M105">
            <v>0</v>
          </cell>
          <cell r="R105">
            <v>0</v>
          </cell>
          <cell r="S105">
            <v>0</v>
          </cell>
          <cell r="T105">
            <v>0</v>
          </cell>
          <cell r="U105">
            <v>0</v>
          </cell>
          <cell r="V105">
            <v>0</v>
          </cell>
          <cell r="W105">
            <v>0</v>
          </cell>
          <cell r="X105">
            <v>242983699.25</v>
          </cell>
          <cell r="AK105">
            <v>242983699.25</v>
          </cell>
          <cell r="AX105">
            <v>242983699.25</v>
          </cell>
          <cell r="BK105">
            <v>242983699.25</v>
          </cell>
          <cell r="CB105">
            <v>0</v>
          </cell>
        </row>
        <row r="106">
          <cell r="H106">
            <v>0</v>
          </cell>
          <cell r="I106">
            <v>0</v>
          </cell>
          <cell r="J106">
            <v>0</v>
          </cell>
          <cell r="K106">
            <v>305552179</v>
          </cell>
          <cell r="L106">
            <v>0</v>
          </cell>
          <cell r="M106">
            <v>0</v>
          </cell>
          <cell r="R106">
            <v>0</v>
          </cell>
          <cell r="S106">
            <v>0</v>
          </cell>
          <cell r="T106">
            <v>0</v>
          </cell>
          <cell r="U106">
            <v>0</v>
          </cell>
          <cell r="V106">
            <v>0</v>
          </cell>
          <cell r="W106">
            <v>0</v>
          </cell>
          <cell r="X106">
            <v>76388044.75</v>
          </cell>
          <cell r="AK106">
            <v>76388044.75</v>
          </cell>
          <cell r="AX106">
            <v>76388044.75</v>
          </cell>
          <cell r="BK106">
            <v>76388044.75</v>
          </cell>
          <cell r="CB106">
            <v>0</v>
          </cell>
        </row>
        <row r="107">
          <cell r="H107">
            <v>0</v>
          </cell>
          <cell r="I107">
            <v>0</v>
          </cell>
          <cell r="J107">
            <v>0</v>
          </cell>
          <cell r="K107">
            <v>544097087</v>
          </cell>
          <cell r="L107">
            <v>0</v>
          </cell>
          <cell r="M107">
            <v>0</v>
          </cell>
          <cell r="R107">
            <v>0</v>
          </cell>
          <cell r="S107">
            <v>0</v>
          </cell>
          <cell r="T107">
            <v>0</v>
          </cell>
          <cell r="U107">
            <v>0</v>
          </cell>
          <cell r="V107">
            <v>0</v>
          </cell>
          <cell r="W107">
            <v>0</v>
          </cell>
          <cell r="X107">
            <v>136024271.75</v>
          </cell>
          <cell r="AK107">
            <v>136024271.75</v>
          </cell>
          <cell r="AX107">
            <v>136024271.75</v>
          </cell>
          <cell r="BK107">
            <v>136024271.75</v>
          </cell>
          <cell r="CB107">
            <v>0</v>
          </cell>
        </row>
        <row r="108">
          <cell r="H108">
            <v>0</v>
          </cell>
          <cell r="I108">
            <v>0</v>
          </cell>
          <cell r="J108">
            <v>0</v>
          </cell>
          <cell r="K108">
            <v>305936497</v>
          </cell>
          <cell r="L108">
            <v>0</v>
          </cell>
          <cell r="M108">
            <v>0</v>
          </cell>
          <cell r="R108">
            <v>0</v>
          </cell>
          <cell r="S108">
            <v>0</v>
          </cell>
          <cell r="T108">
            <v>0</v>
          </cell>
          <cell r="U108">
            <v>0</v>
          </cell>
          <cell r="V108">
            <v>0</v>
          </cell>
          <cell r="W108">
            <v>0</v>
          </cell>
          <cell r="X108">
            <v>76484124.25</v>
          </cell>
          <cell r="AK108">
            <v>76484124.25</v>
          </cell>
          <cell r="AX108">
            <v>76484124.25</v>
          </cell>
          <cell r="BK108">
            <v>76484124.25</v>
          </cell>
          <cell r="CB108">
            <v>0</v>
          </cell>
        </row>
        <row r="109">
          <cell r="H109">
            <v>0</v>
          </cell>
          <cell r="I109">
            <v>0</v>
          </cell>
          <cell r="J109">
            <v>0</v>
          </cell>
          <cell r="K109">
            <v>291663564</v>
          </cell>
          <cell r="L109">
            <v>0</v>
          </cell>
          <cell r="M109">
            <v>0</v>
          </cell>
          <cell r="R109">
            <v>0</v>
          </cell>
          <cell r="S109">
            <v>0</v>
          </cell>
          <cell r="T109">
            <v>0</v>
          </cell>
          <cell r="U109">
            <v>0</v>
          </cell>
          <cell r="V109">
            <v>0</v>
          </cell>
          <cell r="W109">
            <v>0</v>
          </cell>
          <cell r="X109">
            <v>72915891</v>
          </cell>
          <cell r="AK109">
            <v>72915891</v>
          </cell>
          <cell r="AX109">
            <v>72915891</v>
          </cell>
          <cell r="BK109">
            <v>72915891</v>
          </cell>
          <cell r="CB109">
            <v>0</v>
          </cell>
        </row>
        <row r="110">
          <cell r="H110">
            <v>0</v>
          </cell>
          <cell r="I110">
            <v>0</v>
          </cell>
          <cell r="J110">
            <v>0</v>
          </cell>
          <cell r="K110">
            <v>222440942</v>
          </cell>
          <cell r="L110">
            <v>0</v>
          </cell>
          <cell r="M110">
            <v>0</v>
          </cell>
          <cell r="R110">
            <v>0</v>
          </cell>
          <cell r="S110">
            <v>0</v>
          </cell>
          <cell r="T110">
            <v>0</v>
          </cell>
          <cell r="U110">
            <v>0</v>
          </cell>
          <cell r="V110">
            <v>0</v>
          </cell>
          <cell r="W110">
            <v>0</v>
          </cell>
          <cell r="X110">
            <v>55610235.5</v>
          </cell>
          <cell r="AK110">
            <v>55610235.5</v>
          </cell>
          <cell r="AX110">
            <v>55610235.5</v>
          </cell>
          <cell r="BK110">
            <v>55610235.5</v>
          </cell>
          <cell r="CB110">
            <v>0</v>
          </cell>
        </row>
        <row r="111">
          <cell r="H111">
            <v>0</v>
          </cell>
          <cell r="I111">
            <v>0</v>
          </cell>
          <cell r="J111">
            <v>0</v>
          </cell>
          <cell r="K111">
            <v>369896954</v>
          </cell>
          <cell r="L111">
            <v>0</v>
          </cell>
          <cell r="M111">
            <v>0</v>
          </cell>
          <cell r="R111">
            <v>0</v>
          </cell>
          <cell r="S111">
            <v>0</v>
          </cell>
          <cell r="T111">
            <v>0</v>
          </cell>
          <cell r="U111">
            <v>0</v>
          </cell>
          <cell r="V111">
            <v>0</v>
          </cell>
          <cell r="W111">
            <v>0</v>
          </cell>
          <cell r="X111">
            <v>92474238.5</v>
          </cell>
          <cell r="AK111">
            <v>92474238.5</v>
          </cell>
          <cell r="AX111">
            <v>92474238.5</v>
          </cell>
          <cell r="BK111">
            <v>92474238.5</v>
          </cell>
          <cell r="CB111">
            <v>0</v>
          </cell>
        </row>
        <row r="112">
          <cell r="H112">
            <v>0</v>
          </cell>
          <cell r="I112">
            <v>0</v>
          </cell>
          <cell r="J112">
            <v>0</v>
          </cell>
          <cell r="K112">
            <v>1214498163</v>
          </cell>
          <cell r="L112">
            <v>0</v>
          </cell>
          <cell r="M112">
            <v>0</v>
          </cell>
          <cell r="R112">
            <v>0</v>
          </cell>
          <cell r="S112">
            <v>0</v>
          </cell>
          <cell r="T112">
            <v>0</v>
          </cell>
          <cell r="U112">
            <v>0</v>
          </cell>
          <cell r="V112">
            <v>0</v>
          </cell>
          <cell r="W112">
            <v>0</v>
          </cell>
          <cell r="X112">
            <v>303624540.75</v>
          </cell>
          <cell r="AK112">
            <v>303624540.75</v>
          </cell>
          <cell r="AX112">
            <v>303624540.75</v>
          </cell>
          <cell r="BK112">
            <v>303624540.75</v>
          </cell>
          <cell r="CB112">
            <v>0</v>
          </cell>
        </row>
        <row r="113">
          <cell r="H113">
            <v>0</v>
          </cell>
          <cell r="I113">
            <v>0</v>
          </cell>
          <cell r="J113">
            <v>0</v>
          </cell>
          <cell r="K113">
            <v>308361458</v>
          </cell>
          <cell r="L113">
            <v>0</v>
          </cell>
          <cell r="M113">
            <v>0</v>
          </cell>
          <cell r="R113">
            <v>0</v>
          </cell>
          <cell r="S113">
            <v>0</v>
          </cell>
          <cell r="T113">
            <v>0</v>
          </cell>
          <cell r="U113">
            <v>0</v>
          </cell>
          <cell r="V113">
            <v>0</v>
          </cell>
          <cell r="W113">
            <v>0</v>
          </cell>
          <cell r="X113">
            <v>77090364.5</v>
          </cell>
          <cell r="AK113">
            <v>77090364.5</v>
          </cell>
          <cell r="AX113">
            <v>77090364.5</v>
          </cell>
          <cell r="BK113">
            <v>77090364.5</v>
          </cell>
          <cell r="CB113">
            <v>0</v>
          </cell>
        </row>
        <row r="114">
          <cell r="H114">
            <v>0</v>
          </cell>
          <cell r="I114">
            <v>0</v>
          </cell>
          <cell r="J114">
            <v>0</v>
          </cell>
          <cell r="K114">
            <v>388182714</v>
          </cell>
          <cell r="L114">
            <v>0</v>
          </cell>
          <cell r="M114">
            <v>0</v>
          </cell>
          <cell r="R114">
            <v>0</v>
          </cell>
          <cell r="S114">
            <v>0</v>
          </cell>
          <cell r="T114">
            <v>0</v>
          </cell>
          <cell r="U114">
            <v>0</v>
          </cell>
          <cell r="V114">
            <v>0</v>
          </cell>
          <cell r="W114">
            <v>0</v>
          </cell>
          <cell r="X114">
            <v>97045678.5</v>
          </cell>
          <cell r="AK114">
            <v>97045678.5</v>
          </cell>
          <cell r="AX114">
            <v>97045678.5</v>
          </cell>
          <cell r="BK114">
            <v>97045678.5</v>
          </cell>
          <cell r="CB114">
            <v>0</v>
          </cell>
        </row>
        <row r="115">
          <cell r="H115">
            <v>0</v>
          </cell>
          <cell r="I115">
            <v>0</v>
          </cell>
          <cell r="J115">
            <v>0</v>
          </cell>
          <cell r="K115">
            <v>395305670</v>
          </cell>
          <cell r="L115">
            <v>0</v>
          </cell>
          <cell r="M115">
            <v>0</v>
          </cell>
          <cell r="R115">
            <v>0</v>
          </cell>
          <cell r="S115">
            <v>0</v>
          </cell>
          <cell r="T115">
            <v>0</v>
          </cell>
          <cell r="U115">
            <v>0</v>
          </cell>
          <cell r="V115">
            <v>0</v>
          </cell>
          <cell r="W115">
            <v>0</v>
          </cell>
          <cell r="X115">
            <v>98826417.5</v>
          </cell>
          <cell r="AK115">
            <v>98826417.5</v>
          </cell>
          <cell r="AX115">
            <v>98826417.5</v>
          </cell>
          <cell r="BK115">
            <v>98826417.5</v>
          </cell>
          <cell r="CB115">
            <v>0</v>
          </cell>
        </row>
        <row r="116">
          <cell r="H116">
            <v>0</v>
          </cell>
          <cell r="I116">
            <v>0</v>
          </cell>
          <cell r="J116">
            <v>0</v>
          </cell>
          <cell r="K116">
            <v>1295007520</v>
          </cell>
          <cell r="L116">
            <v>0</v>
          </cell>
          <cell r="M116">
            <v>0</v>
          </cell>
          <cell r="R116">
            <v>0</v>
          </cell>
          <cell r="S116">
            <v>0</v>
          </cell>
          <cell r="T116">
            <v>0</v>
          </cell>
          <cell r="U116">
            <v>0</v>
          </cell>
          <cell r="V116">
            <v>0</v>
          </cell>
          <cell r="W116">
            <v>0</v>
          </cell>
          <cell r="X116">
            <v>323751880</v>
          </cell>
          <cell r="AK116">
            <v>323751880</v>
          </cell>
          <cell r="AX116">
            <v>323751880</v>
          </cell>
          <cell r="BK116">
            <v>323751880</v>
          </cell>
          <cell r="CB116">
            <v>0</v>
          </cell>
        </row>
        <row r="117">
          <cell r="H117">
            <v>0</v>
          </cell>
          <cell r="I117">
            <v>0</v>
          </cell>
          <cell r="J117">
            <v>0</v>
          </cell>
          <cell r="K117">
            <v>1068667400</v>
          </cell>
          <cell r="L117">
            <v>0</v>
          </cell>
          <cell r="M117">
            <v>0</v>
          </cell>
          <cell r="R117">
            <v>0</v>
          </cell>
          <cell r="S117">
            <v>0</v>
          </cell>
          <cell r="T117">
            <v>0</v>
          </cell>
          <cell r="U117">
            <v>0</v>
          </cell>
          <cell r="V117">
            <v>0</v>
          </cell>
          <cell r="W117">
            <v>0</v>
          </cell>
          <cell r="X117">
            <v>267166850</v>
          </cell>
          <cell r="AK117">
            <v>267166850</v>
          </cell>
          <cell r="AX117">
            <v>267166850</v>
          </cell>
          <cell r="BK117">
            <v>267166850</v>
          </cell>
          <cell r="CB117">
            <v>0</v>
          </cell>
        </row>
        <row r="118">
          <cell r="H118">
            <v>0</v>
          </cell>
          <cell r="I118">
            <v>0</v>
          </cell>
          <cell r="J118">
            <v>0</v>
          </cell>
          <cell r="K118">
            <v>381588166</v>
          </cell>
          <cell r="L118">
            <v>0</v>
          </cell>
          <cell r="M118">
            <v>0</v>
          </cell>
          <cell r="R118">
            <v>0</v>
          </cell>
          <cell r="S118">
            <v>0</v>
          </cell>
          <cell r="T118">
            <v>0</v>
          </cell>
          <cell r="U118">
            <v>0</v>
          </cell>
          <cell r="V118">
            <v>0</v>
          </cell>
          <cell r="W118">
            <v>0</v>
          </cell>
          <cell r="X118">
            <v>95397041.5</v>
          </cell>
          <cell r="AK118">
            <v>95397041.5</v>
          </cell>
          <cell r="AX118">
            <v>95397041.5</v>
          </cell>
          <cell r="BK118">
            <v>95397041.5</v>
          </cell>
          <cell r="CB118">
            <v>0</v>
          </cell>
        </row>
        <row r="119">
          <cell r="H119">
            <v>0</v>
          </cell>
          <cell r="I119">
            <v>0</v>
          </cell>
          <cell r="J119">
            <v>0</v>
          </cell>
          <cell r="K119">
            <v>511808738</v>
          </cell>
          <cell r="L119">
            <v>0</v>
          </cell>
          <cell r="M119">
            <v>0</v>
          </cell>
          <cell r="R119">
            <v>0</v>
          </cell>
          <cell r="S119">
            <v>0</v>
          </cell>
          <cell r="T119">
            <v>0</v>
          </cell>
          <cell r="U119">
            <v>0</v>
          </cell>
          <cell r="V119">
            <v>0</v>
          </cell>
          <cell r="W119">
            <v>0</v>
          </cell>
          <cell r="X119">
            <v>127952184.5</v>
          </cell>
          <cell r="AK119">
            <v>127952184.5</v>
          </cell>
          <cell r="AX119">
            <v>127952184.5</v>
          </cell>
          <cell r="BK119">
            <v>127952184.5</v>
          </cell>
          <cell r="CB119">
            <v>0</v>
          </cell>
        </row>
        <row r="120">
          <cell r="H120">
            <v>0</v>
          </cell>
          <cell r="I120">
            <v>0</v>
          </cell>
          <cell r="J120">
            <v>0</v>
          </cell>
          <cell r="K120">
            <v>742895394</v>
          </cell>
          <cell r="L120">
            <v>0</v>
          </cell>
          <cell r="M120">
            <v>0</v>
          </cell>
          <cell r="R120">
            <v>0</v>
          </cell>
          <cell r="S120">
            <v>0</v>
          </cell>
          <cell r="T120">
            <v>0</v>
          </cell>
          <cell r="U120">
            <v>0</v>
          </cell>
          <cell r="V120">
            <v>0</v>
          </cell>
          <cell r="W120">
            <v>0</v>
          </cell>
          <cell r="X120">
            <v>185723848.5</v>
          </cell>
          <cell r="AK120">
            <v>185723848.5</v>
          </cell>
          <cell r="AX120">
            <v>185723848.5</v>
          </cell>
          <cell r="BK120">
            <v>185723848.5</v>
          </cell>
          <cell r="CB120">
            <v>0</v>
          </cell>
        </row>
        <row r="121">
          <cell r="H121">
            <v>0</v>
          </cell>
          <cell r="I121">
            <v>0</v>
          </cell>
          <cell r="J121">
            <v>0</v>
          </cell>
          <cell r="K121">
            <v>830842800</v>
          </cell>
          <cell r="L121">
            <v>0</v>
          </cell>
          <cell r="M121">
            <v>0</v>
          </cell>
          <cell r="R121">
            <v>0</v>
          </cell>
          <cell r="S121">
            <v>0</v>
          </cell>
          <cell r="T121">
            <v>0</v>
          </cell>
          <cell r="U121">
            <v>0</v>
          </cell>
          <cell r="V121">
            <v>0</v>
          </cell>
          <cell r="W121">
            <v>0</v>
          </cell>
          <cell r="X121">
            <v>207710700</v>
          </cell>
          <cell r="AK121">
            <v>207710700</v>
          </cell>
          <cell r="AX121">
            <v>207710700</v>
          </cell>
          <cell r="BK121">
            <v>207710700</v>
          </cell>
          <cell r="CB121">
            <v>0</v>
          </cell>
        </row>
        <row r="122">
          <cell r="H122">
            <v>0</v>
          </cell>
          <cell r="I122">
            <v>0</v>
          </cell>
          <cell r="J122">
            <v>0</v>
          </cell>
          <cell r="K122">
            <v>847596800</v>
          </cell>
          <cell r="L122">
            <v>0</v>
          </cell>
          <cell r="M122">
            <v>0</v>
          </cell>
          <cell r="R122">
            <v>0</v>
          </cell>
          <cell r="S122">
            <v>0</v>
          </cell>
          <cell r="T122">
            <v>0</v>
          </cell>
          <cell r="U122">
            <v>0</v>
          </cell>
          <cell r="V122">
            <v>0</v>
          </cell>
          <cell r="W122">
            <v>0</v>
          </cell>
          <cell r="X122">
            <v>211899200</v>
          </cell>
          <cell r="AK122">
            <v>211899200</v>
          </cell>
          <cell r="AX122">
            <v>211899200</v>
          </cell>
          <cell r="BK122">
            <v>211899200</v>
          </cell>
          <cell r="CB122">
            <v>0</v>
          </cell>
        </row>
        <row r="123">
          <cell r="H123">
            <v>0</v>
          </cell>
          <cell r="I123">
            <v>0</v>
          </cell>
          <cell r="J123">
            <v>0</v>
          </cell>
          <cell r="K123">
            <v>465873282</v>
          </cell>
          <cell r="L123">
            <v>0</v>
          </cell>
          <cell r="M123">
            <v>0</v>
          </cell>
          <cell r="R123">
            <v>0</v>
          </cell>
          <cell r="S123">
            <v>0</v>
          </cell>
          <cell r="T123">
            <v>0</v>
          </cell>
          <cell r="U123">
            <v>0</v>
          </cell>
          <cell r="V123">
            <v>0</v>
          </cell>
          <cell r="W123">
            <v>0</v>
          </cell>
          <cell r="X123">
            <v>116468320.5</v>
          </cell>
          <cell r="AK123">
            <v>116468320.5</v>
          </cell>
          <cell r="AX123">
            <v>116468320.5</v>
          </cell>
          <cell r="BK123">
            <v>116468320.5</v>
          </cell>
          <cell r="CB123">
            <v>0</v>
          </cell>
        </row>
        <row r="124">
          <cell r="H124">
            <v>0</v>
          </cell>
          <cell r="I124">
            <v>0</v>
          </cell>
          <cell r="J124">
            <v>0</v>
          </cell>
          <cell r="K124">
            <v>297116710</v>
          </cell>
          <cell r="L124">
            <v>0</v>
          </cell>
          <cell r="M124">
            <v>0</v>
          </cell>
          <cell r="R124">
            <v>0</v>
          </cell>
          <cell r="S124">
            <v>0</v>
          </cell>
          <cell r="T124">
            <v>0</v>
          </cell>
          <cell r="U124">
            <v>0</v>
          </cell>
          <cell r="V124">
            <v>0</v>
          </cell>
          <cell r="W124">
            <v>0</v>
          </cell>
          <cell r="X124">
            <v>74279177.5</v>
          </cell>
          <cell r="AK124">
            <v>74279177.5</v>
          </cell>
          <cell r="AX124">
            <v>74279177.5</v>
          </cell>
          <cell r="BK124">
            <v>74279177.5</v>
          </cell>
          <cell r="CB124">
            <v>0</v>
          </cell>
        </row>
        <row r="125">
          <cell r="H125">
            <v>0</v>
          </cell>
          <cell r="I125">
            <v>0</v>
          </cell>
          <cell r="J125">
            <v>0</v>
          </cell>
          <cell r="K125">
            <v>951381400</v>
          </cell>
          <cell r="L125">
            <v>0</v>
          </cell>
          <cell r="M125">
            <v>0</v>
          </cell>
          <cell r="R125">
            <v>0</v>
          </cell>
          <cell r="S125">
            <v>0</v>
          </cell>
          <cell r="T125">
            <v>0</v>
          </cell>
          <cell r="U125">
            <v>0</v>
          </cell>
          <cell r="V125">
            <v>0</v>
          </cell>
          <cell r="W125">
            <v>0</v>
          </cell>
          <cell r="X125">
            <v>237845350</v>
          </cell>
          <cell r="AK125">
            <v>237845350</v>
          </cell>
          <cell r="AX125">
            <v>237845350</v>
          </cell>
          <cell r="BK125">
            <v>237845350</v>
          </cell>
          <cell r="CB125">
            <v>0</v>
          </cell>
        </row>
        <row r="126">
          <cell r="H126">
            <v>0</v>
          </cell>
          <cell r="I126">
            <v>0</v>
          </cell>
          <cell r="J126">
            <v>0</v>
          </cell>
          <cell r="K126">
            <v>926649370</v>
          </cell>
          <cell r="L126">
            <v>0</v>
          </cell>
          <cell r="M126">
            <v>0</v>
          </cell>
          <cell r="R126">
            <v>0</v>
          </cell>
          <cell r="S126">
            <v>0</v>
          </cell>
          <cell r="T126">
            <v>0</v>
          </cell>
          <cell r="U126">
            <v>0</v>
          </cell>
          <cell r="V126">
            <v>0</v>
          </cell>
          <cell r="W126">
            <v>0</v>
          </cell>
          <cell r="X126">
            <v>231662342.5</v>
          </cell>
          <cell r="AK126">
            <v>231662342.5</v>
          </cell>
          <cell r="AX126">
            <v>231662342.5</v>
          </cell>
          <cell r="BK126">
            <v>231662342.5</v>
          </cell>
          <cell r="CB126">
            <v>0</v>
          </cell>
        </row>
        <row r="127">
          <cell r="H127">
            <v>0</v>
          </cell>
          <cell r="I127">
            <v>0</v>
          </cell>
          <cell r="J127">
            <v>0</v>
          </cell>
          <cell r="K127">
            <v>407293700</v>
          </cell>
          <cell r="L127">
            <v>0</v>
          </cell>
          <cell r="M127">
            <v>0</v>
          </cell>
          <cell r="R127">
            <v>0</v>
          </cell>
          <cell r="S127">
            <v>0</v>
          </cell>
          <cell r="T127">
            <v>0</v>
          </cell>
          <cell r="U127">
            <v>0</v>
          </cell>
          <cell r="V127">
            <v>0</v>
          </cell>
          <cell r="W127">
            <v>0</v>
          </cell>
          <cell r="X127">
            <v>101823425</v>
          </cell>
          <cell r="AK127">
            <v>101823425</v>
          </cell>
          <cell r="AX127">
            <v>101823425</v>
          </cell>
          <cell r="BK127">
            <v>101823425</v>
          </cell>
          <cell r="CB127">
            <v>0</v>
          </cell>
        </row>
        <row r="128">
          <cell r="H128">
            <v>0</v>
          </cell>
          <cell r="I128">
            <v>0</v>
          </cell>
          <cell r="J128">
            <v>0</v>
          </cell>
          <cell r="K128">
            <v>332024173</v>
          </cell>
          <cell r="L128">
            <v>0</v>
          </cell>
          <cell r="M128">
            <v>0</v>
          </cell>
          <cell r="R128">
            <v>0</v>
          </cell>
          <cell r="S128">
            <v>0</v>
          </cell>
          <cell r="T128">
            <v>0</v>
          </cell>
          <cell r="U128">
            <v>0</v>
          </cell>
          <cell r="V128">
            <v>0</v>
          </cell>
          <cell r="W128">
            <v>0</v>
          </cell>
          <cell r="X128">
            <v>83006043.25</v>
          </cell>
          <cell r="AK128">
            <v>83006043.25</v>
          </cell>
          <cell r="AX128">
            <v>83006043.25</v>
          </cell>
          <cell r="BK128">
            <v>83006043.25</v>
          </cell>
          <cell r="CB128">
            <v>0</v>
          </cell>
        </row>
        <row r="129">
          <cell r="H129">
            <v>0</v>
          </cell>
          <cell r="I129">
            <v>0</v>
          </cell>
          <cell r="J129">
            <v>0</v>
          </cell>
          <cell r="K129">
            <v>606783496</v>
          </cell>
          <cell r="L129">
            <v>0</v>
          </cell>
          <cell r="M129">
            <v>0</v>
          </cell>
          <cell r="R129">
            <v>0</v>
          </cell>
          <cell r="S129">
            <v>0</v>
          </cell>
          <cell r="T129">
            <v>0</v>
          </cell>
          <cell r="U129">
            <v>0</v>
          </cell>
          <cell r="V129">
            <v>0</v>
          </cell>
          <cell r="W129">
            <v>0</v>
          </cell>
          <cell r="X129">
            <v>151695874</v>
          </cell>
          <cell r="AK129">
            <v>151695874</v>
          </cell>
          <cell r="AX129">
            <v>151695874</v>
          </cell>
          <cell r="BK129">
            <v>151695874</v>
          </cell>
          <cell r="CB129">
            <v>0</v>
          </cell>
        </row>
        <row r="130">
          <cell r="H130">
            <v>0</v>
          </cell>
          <cell r="I130">
            <v>0</v>
          </cell>
          <cell r="J130">
            <v>0</v>
          </cell>
          <cell r="K130">
            <v>321200000</v>
          </cell>
          <cell r="L130">
            <v>0</v>
          </cell>
          <cell r="M130">
            <v>0</v>
          </cell>
          <cell r="R130">
            <v>0</v>
          </cell>
          <cell r="S130">
            <v>0</v>
          </cell>
          <cell r="T130">
            <v>0</v>
          </cell>
          <cell r="U130">
            <v>0</v>
          </cell>
          <cell r="V130">
            <v>0</v>
          </cell>
          <cell r="W130">
            <v>0</v>
          </cell>
          <cell r="X130">
            <v>80300000</v>
          </cell>
          <cell r="AK130">
            <v>80300000</v>
          </cell>
          <cell r="AX130">
            <v>80300000</v>
          </cell>
          <cell r="BK130">
            <v>80300000</v>
          </cell>
          <cell r="CB130">
            <v>0</v>
          </cell>
        </row>
        <row r="131">
          <cell r="H131">
            <v>0</v>
          </cell>
          <cell r="I131">
            <v>0</v>
          </cell>
          <cell r="J131">
            <v>0</v>
          </cell>
          <cell r="K131">
            <v>502708800</v>
          </cell>
          <cell r="L131">
            <v>0</v>
          </cell>
          <cell r="M131">
            <v>0</v>
          </cell>
          <cell r="R131">
            <v>0</v>
          </cell>
          <cell r="S131">
            <v>0</v>
          </cell>
          <cell r="T131">
            <v>0</v>
          </cell>
          <cell r="U131">
            <v>0</v>
          </cell>
          <cell r="V131">
            <v>0</v>
          </cell>
          <cell r="W131">
            <v>0</v>
          </cell>
          <cell r="X131">
            <v>125677200</v>
          </cell>
          <cell r="AK131">
            <v>125677200</v>
          </cell>
          <cell r="AX131">
            <v>125677200</v>
          </cell>
          <cell r="BK131">
            <v>125677200</v>
          </cell>
          <cell r="CB131">
            <v>0</v>
          </cell>
        </row>
        <row r="132">
          <cell r="H132">
            <v>0</v>
          </cell>
          <cell r="I132">
            <v>0</v>
          </cell>
          <cell r="J132">
            <v>0</v>
          </cell>
          <cell r="K132">
            <v>176735528</v>
          </cell>
          <cell r="L132">
            <v>0</v>
          </cell>
          <cell r="M132">
            <v>0</v>
          </cell>
          <cell r="R132">
            <v>0</v>
          </cell>
          <cell r="S132">
            <v>0</v>
          </cell>
          <cell r="T132">
            <v>0</v>
          </cell>
          <cell r="U132">
            <v>0</v>
          </cell>
          <cell r="V132">
            <v>0</v>
          </cell>
          <cell r="W132">
            <v>0</v>
          </cell>
          <cell r="X132">
            <v>44183882</v>
          </cell>
          <cell r="AK132">
            <v>44183882</v>
          </cell>
          <cell r="AX132">
            <v>44183882</v>
          </cell>
          <cell r="BK132">
            <v>44183882</v>
          </cell>
          <cell r="CB132">
            <v>0</v>
          </cell>
        </row>
        <row r="133">
          <cell r="H133">
            <v>0</v>
          </cell>
          <cell r="I133">
            <v>0</v>
          </cell>
          <cell r="J133">
            <v>0</v>
          </cell>
          <cell r="K133">
            <v>419123898</v>
          </cell>
          <cell r="L133">
            <v>0</v>
          </cell>
          <cell r="M133">
            <v>0</v>
          </cell>
          <cell r="R133">
            <v>0</v>
          </cell>
          <cell r="S133">
            <v>0</v>
          </cell>
          <cell r="T133">
            <v>0</v>
          </cell>
          <cell r="U133">
            <v>0</v>
          </cell>
          <cell r="V133">
            <v>0</v>
          </cell>
          <cell r="W133">
            <v>0</v>
          </cell>
          <cell r="X133">
            <v>104780974.5</v>
          </cell>
          <cell r="AK133">
            <v>104780974.5</v>
          </cell>
          <cell r="AX133">
            <v>104780974.5</v>
          </cell>
          <cell r="BK133">
            <v>104780974.5</v>
          </cell>
          <cell r="CB133">
            <v>0</v>
          </cell>
        </row>
        <row r="134">
          <cell r="H134">
            <v>0</v>
          </cell>
          <cell r="I134">
            <v>0</v>
          </cell>
          <cell r="J134">
            <v>0</v>
          </cell>
          <cell r="K134">
            <v>589654094</v>
          </cell>
          <cell r="L134">
            <v>0</v>
          </cell>
          <cell r="M134">
            <v>0</v>
          </cell>
          <cell r="R134">
            <v>0</v>
          </cell>
          <cell r="S134">
            <v>0</v>
          </cell>
          <cell r="T134">
            <v>0</v>
          </cell>
          <cell r="U134">
            <v>0</v>
          </cell>
          <cell r="V134">
            <v>0</v>
          </cell>
          <cell r="W134">
            <v>0</v>
          </cell>
          <cell r="X134">
            <v>147413523.5</v>
          </cell>
          <cell r="AK134">
            <v>147413523.5</v>
          </cell>
          <cell r="AX134">
            <v>147413523.5</v>
          </cell>
          <cell r="BK134">
            <v>147413523.5</v>
          </cell>
          <cell r="CB134">
            <v>0</v>
          </cell>
        </row>
        <row r="135">
          <cell r="H135">
            <v>0</v>
          </cell>
          <cell r="I135">
            <v>0</v>
          </cell>
          <cell r="J135">
            <v>0</v>
          </cell>
          <cell r="K135">
            <v>119405764</v>
          </cell>
          <cell r="L135">
            <v>0</v>
          </cell>
          <cell r="M135">
            <v>0</v>
          </cell>
          <cell r="R135">
            <v>0</v>
          </cell>
          <cell r="S135">
            <v>0</v>
          </cell>
          <cell r="T135">
            <v>0</v>
          </cell>
          <cell r="U135">
            <v>0</v>
          </cell>
          <cell r="V135">
            <v>0</v>
          </cell>
          <cell r="W135">
            <v>0</v>
          </cell>
          <cell r="X135">
            <v>29851441</v>
          </cell>
          <cell r="AK135">
            <v>29851441</v>
          </cell>
          <cell r="AX135">
            <v>29851441</v>
          </cell>
          <cell r="BK135">
            <v>29851441</v>
          </cell>
          <cell r="CB135">
            <v>0</v>
          </cell>
        </row>
        <row r="136">
          <cell r="H136">
            <v>0</v>
          </cell>
          <cell r="I136">
            <v>0</v>
          </cell>
          <cell r="J136">
            <v>0</v>
          </cell>
          <cell r="K136">
            <v>410866786</v>
          </cell>
          <cell r="L136">
            <v>0</v>
          </cell>
          <cell r="M136">
            <v>0</v>
          </cell>
          <cell r="R136">
            <v>0</v>
          </cell>
          <cell r="S136">
            <v>0</v>
          </cell>
          <cell r="T136">
            <v>0</v>
          </cell>
          <cell r="U136">
            <v>0</v>
          </cell>
          <cell r="V136">
            <v>0</v>
          </cell>
          <cell r="W136">
            <v>0</v>
          </cell>
          <cell r="X136">
            <v>102716696.5</v>
          </cell>
          <cell r="AK136">
            <v>102716696.5</v>
          </cell>
          <cell r="AX136">
            <v>102716696.5</v>
          </cell>
          <cell r="BK136">
            <v>102716696.5</v>
          </cell>
          <cell r="CB136">
            <v>0</v>
          </cell>
        </row>
        <row r="137">
          <cell r="H137">
            <v>0</v>
          </cell>
          <cell r="I137">
            <v>0</v>
          </cell>
          <cell r="J137">
            <v>0</v>
          </cell>
          <cell r="K137">
            <v>92088568</v>
          </cell>
          <cell r="L137">
            <v>0</v>
          </cell>
          <cell r="M137">
            <v>0</v>
          </cell>
          <cell r="R137">
            <v>0</v>
          </cell>
          <cell r="S137">
            <v>0</v>
          </cell>
          <cell r="T137">
            <v>0</v>
          </cell>
          <cell r="U137">
            <v>0</v>
          </cell>
          <cell r="V137">
            <v>0</v>
          </cell>
          <cell r="W137">
            <v>0</v>
          </cell>
          <cell r="X137">
            <v>23022142</v>
          </cell>
          <cell r="AK137">
            <v>23022142</v>
          </cell>
          <cell r="AX137">
            <v>23022142</v>
          </cell>
          <cell r="BK137">
            <v>23022142</v>
          </cell>
          <cell r="CB137">
            <v>0</v>
          </cell>
        </row>
        <row r="138">
          <cell r="H138">
            <v>1239726429282.4238</v>
          </cell>
          <cell r="I138">
            <v>298898273875.40027</v>
          </cell>
          <cell r="J138">
            <v>165759536563.84</v>
          </cell>
          <cell r="K138">
            <v>20866223004</v>
          </cell>
          <cell r="L138">
            <v>0</v>
          </cell>
          <cell r="M138">
            <v>0</v>
          </cell>
          <cell r="R138">
            <v>0</v>
          </cell>
          <cell r="S138">
            <v>0</v>
          </cell>
          <cell r="T138">
            <v>0</v>
          </cell>
          <cell r="U138">
            <v>0</v>
          </cell>
          <cell r="V138">
            <v>0</v>
          </cell>
          <cell r="W138">
            <v>0</v>
          </cell>
          <cell r="X138">
            <v>436312615681.41602</v>
          </cell>
          <cell r="AK138">
            <v>431312615681.41602</v>
          </cell>
          <cell r="AX138">
            <v>431312615681.41602</v>
          </cell>
          <cell r="BK138">
            <v>426312615681.41602</v>
          </cell>
          <cell r="CB138">
            <v>0</v>
          </cell>
        </row>
        <row r="139">
          <cell r="H139">
            <v>0</v>
          </cell>
          <cell r="I139">
            <v>0</v>
          </cell>
          <cell r="J139">
            <v>0</v>
          </cell>
          <cell r="K139">
            <v>0</v>
          </cell>
          <cell r="L139">
            <v>2026701784.4414001</v>
          </cell>
          <cell r="M139">
            <v>139243872.00003001</v>
          </cell>
          <cell r="R139">
            <v>324575132.38193637</v>
          </cell>
          <cell r="S139">
            <v>4010897794.0474</v>
          </cell>
          <cell r="T139">
            <v>6195876490.6539507</v>
          </cell>
          <cell r="U139">
            <v>5020573997.0952988</v>
          </cell>
          <cell r="V139">
            <v>861744833.56175768</v>
          </cell>
          <cell r="W139">
            <v>313557659.99689364</v>
          </cell>
          <cell r="X139">
            <v>3174323768.3811789</v>
          </cell>
          <cell r="AK139">
            <v>3174323768.3811789</v>
          </cell>
          <cell r="AX139">
            <v>3174323768.3811789</v>
          </cell>
          <cell r="BK139">
            <v>3174323768.3811789</v>
          </cell>
          <cell r="CB139">
            <v>0</v>
          </cell>
        </row>
        <row r="140">
          <cell r="H140">
            <v>0</v>
          </cell>
          <cell r="I140">
            <v>0</v>
          </cell>
          <cell r="J140">
            <v>0</v>
          </cell>
          <cell r="K140">
            <v>0</v>
          </cell>
          <cell r="L140">
            <v>2227718573.4418001</v>
          </cell>
          <cell r="M140">
            <v>224896967.99996001</v>
          </cell>
          <cell r="R140">
            <v>208460387.51174703</v>
          </cell>
          <cell r="S140">
            <v>4022086420.6788998</v>
          </cell>
          <cell r="T140">
            <v>11360588361.336712</v>
          </cell>
          <cell r="U140">
            <v>9881699925.3425579</v>
          </cell>
          <cell r="V140">
            <v>1431559883.9965396</v>
          </cell>
          <cell r="W140">
            <v>47328551.997613788</v>
          </cell>
          <cell r="X140">
            <v>4510937677.7422791</v>
          </cell>
          <cell r="AK140">
            <v>4510937677.7422791</v>
          </cell>
          <cell r="AX140">
            <v>4510937677.7422791</v>
          </cell>
          <cell r="BK140">
            <v>4510937677.7422791</v>
          </cell>
          <cell r="CB140">
            <v>0</v>
          </cell>
        </row>
        <row r="141">
          <cell r="H141">
            <v>0</v>
          </cell>
          <cell r="I141">
            <v>0</v>
          </cell>
          <cell r="J141">
            <v>0</v>
          </cell>
          <cell r="K141">
            <v>0</v>
          </cell>
          <cell r="L141">
            <v>2427412180.3232002</v>
          </cell>
          <cell r="M141">
            <v>0</v>
          </cell>
          <cell r="R141">
            <v>314501001.35090464</v>
          </cell>
          <cell r="S141">
            <v>4263719946.4780998</v>
          </cell>
          <cell r="T141">
            <v>27591551033.867386</v>
          </cell>
          <cell r="U141">
            <v>22485076670.765457</v>
          </cell>
          <cell r="V141">
            <v>4268715063.1104212</v>
          </cell>
          <cell r="W141">
            <v>837759299.99151015</v>
          </cell>
          <cell r="X141">
            <v>8649296040.5048981</v>
          </cell>
          <cell r="AK141">
            <v>8649296040.5048981</v>
          </cell>
          <cell r="AX141">
            <v>8649296040.5048981</v>
          </cell>
          <cell r="BK141">
            <v>8649296040.5048981</v>
          </cell>
          <cell r="CB141">
            <v>0</v>
          </cell>
        </row>
        <row r="142">
          <cell r="H142">
            <v>0</v>
          </cell>
          <cell r="I142">
            <v>0</v>
          </cell>
          <cell r="J142">
            <v>0</v>
          </cell>
          <cell r="K142">
            <v>0</v>
          </cell>
          <cell r="L142">
            <v>1766980113.6012001</v>
          </cell>
          <cell r="M142">
            <v>43879439.999968</v>
          </cell>
          <cell r="R142">
            <v>469751629.1900242</v>
          </cell>
          <cell r="S142">
            <v>3023451129.2778001</v>
          </cell>
          <cell r="T142">
            <v>9893889876.0240898</v>
          </cell>
          <cell r="U142">
            <v>9160650742.346241</v>
          </cell>
          <cell r="V142">
            <v>726188077.67788792</v>
          </cell>
          <cell r="W142">
            <v>7051055.999961568</v>
          </cell>
          <cell r="X142">
            <v>3799488047.0232711</v>
          </cell>
          <cell r="AK142">
            <v>3799488047.0232711</v>
          </cell>
          <cell r="AX142">
            <v>3799488047.0232711</v>
          </cell>
          <cell r="BK142">
            <v>3799488047.0232711</v>
          </cell>
          <cell r="CB142">
            <v>0</v>
          </cell>
        </row>
        <row r="143">
          <cell r="H143">
            <v>0</v>
          </cell>
          <cell r="I143">
            <v>0</v>
          </cell>
          <cell r="J143">
            <v>0</v>
          </cell>
          <cell r="K143">
            <v>0</v>
          </cell>
          <cell r="L143">
            <v>1649534027.8069</v>
          </cell>
          <cell r="M143">
            <v>388466084.00010997</v>
          </cell>
          <cell r="R143">
            <v>414771841.42998421</v>
          </cell>
          <cell r="S143">
            <v>3907858894.8741002</v>
          </cell>
          <cell r="T143">
            <v>9645077013.5317554</v>
          </cell>
          <cell r="U143">
            <v>8185005800.3100996</v>
          </cell>
          <cell r="V143">
            <v>1202379959.6184053</v>
          </cell>
          <cell r="W143">
            <v>257691253.60325015</v>
          </cell>
          <cell r="X143">
            <v>4001426965.4107127</v>
          </cell>
          <cell r="AK143">
            <v>4001426965.4107127</v>
          </cell>
          <cell r="AX143">
            <v>4001426965.4107127</v>
          </cell>
          <cell r="BK143">
            <v>4001426965.4107127</v>
          </cell>
          <cell r="CB143">
            <v>0</v>
          </cell>
        </row>
        <row r="144">
          <cell r="H144">
            <v>0</v>
          </cell>
          <cell r="I144">
            <v>0</v>
          </cell>
          <cell r="J144">
            <v>0</v>
          </cell>
          <cell r="K144">
            <v>0</v>
          </cell>
          <cell r="L144">
            <v>1975141420.2816999</v>
          </cell>
          <cell r="M144">
            <v>124999999.99996001</v>
          </cell>
          <cell r="R144">
            <v>396821495.27032548</v>
          </cell>
          <cell r="S144">
            <v>1216420719.3585</v>
          </cell>
          <cell r="T144">
            <v>9390900256.7882195</v>
          </cell>
          <cell r="U144">
            <v>7331112902.1548338</v>
          </cell>
          <cell r="V144">
            <v>1703534654.6368768</v>
          </cell>
          <cell r="W144">
            <v>356252699.99651021</v>
          </cell>
          <cell r="X144">
            <v>3276070972.9246764</v>
          </cell>
          <cell r="AK144">
            <v>3276070972.9246764</v>
          </cell>
          <cell r="AX144">
            <v>3276070972.9246764</v>
          </cell>
          <cell r="BK144">
            <v>3276070972.9246764</v>
          </cell>
          <cell r="CB144">
            <v>0</v>
          </cell>
        </row>
        <row r="145">
          <cell r="H145">
            <v>0</v>
          </cell>
          <cell r="I145">
            <v>0</v>
          </cell>
          <cell r="J145">
            <v>0</v>
          </cell>
          <cell r="K145">
            <v>0</v>
          </cell>
          <cell r="L145">
            <v>1257883148.7618999</v>
          </cell>
          <cell r="M145">
            <v>0</v>
          </cell>
          <cell r="R145">
            <v>398706418.79035348</v>
          </cell>
          <cell r="S145">
            <v>2055088120.8778999</v>
          </cell>
          <cell r="T145">
            <v>10232499904.823099</v>
          </cell>
          <cell r="U145">
            <v>8131131567.3919973</v>
          </cell>
          <cell r="V145">
            <v>1614387445.4360611</v>
          </cell>
          <cell r="W145">
            <v>486980891.99504131</v>
          </cell>
          <cell r="X145">
            <v>3486044398.313313</v>
          </cell>
          <cell r="AK145">
            <v>3486044398.313313</v>
          </cell>
          <cell r="AX145">
            <v>3486044398.313313</v>
          </cell>
          <cell r="BK145">
            <v>3486044398.313313</v>
          </cell>
          <cell r="CB145">
            <v>0</v>
          </cell>
        </row>
        <row r="146">
          <cell r="H146">
            <v>0</v>
          </cell>
          <cell r="I146">
            <v>0</v>
          </cell>
          <cell r="J146">
            <v>0</v>
          </cell>
          <cell r="K146">
            <v>0</v>
          </cell>
          <cell r="L146">
            <v>2230458843.3164001</v>
          </cell>
          <cell r="M146">
            <v>0</v>
          </cell>
          <cell r="R146">
            <v>353069889.79731315</v>
          </cell>
          <cell r="S146">
            <v>1231486691.5825</v>
          </cell>
          <cell r="T146">
            <v>10869863363.122322</v>
          </cell>
          <cell r="U146">
            <v>8775549255.234663</v>
          </cell>
          <cell r="V146">
            <v>1608756781.4774144</v>
          </cell>
          <cell r="W146">
            <v>485557326.41024303</v>
          </cell>
          <cell r="X146">
            <v>3671219696.9546337</v>
          </cell>
          <cell r="AK146">
            <v>3671219696.9546337</v>
          </cell>
          <cell r="AX146">
            <v>3671219696.9546337</v>
          </cell>
          <cell r="BK146">
            <v>3671219696.9546337</v>
          </cell>
          <cell r="CB146">
            <v>0</v>
          </cell>
        </row>
        <row r="147">
          <cell r="H147">
            <v>0</v>
          </cell>
          <cell r="I147">
            <v>0</v>
          </cell>
          <cell r="J147">
            <v>0</v>
          </cell>
          <cell r="K147">
            <v>0</v>
          </cell>
          <cell r="L147">
            <v>1435904740.5613</v>
          </cell>
          <cell r="M147">
            <v>127739951.99999</v>
          </cell>
          <cell r="R147">
            <v>353345175.11077309</v>
          </cell>
          <cell r="S147">
            <v>3021507395.7593002</v>
          </cell>
          <cell r="T147">
            <v>9776108509.2960339</v>
          </cell>
          <cell r="U147">
            <v>7838776235.6242561</v>
          </cell>
          <cell r="V147">
            <v>1480500649.6763201</v>
          </cell>
          <cell r="W147">
            <v>456831623.99545836</v>
          </cell>
          <cell r="X147">
            <v>3678651443.18185</v>
          </cell>
          <cell r="AK147">
            <v>3678651443.18185</v>
          </cell>
          <cell r="AX147">
            <v>3678651443.18185</v>
          </cell>
          <cell r="BK147">
            <v>3678651443.18185</v>
          </cell>
          <cell r="CB147">
            <v>0</v>
          </cell>
        </row>
        <row r="148">
          <cell r="H148">
            <v>0</v>
          </cell>
          <cell r="I148">
            <v>0</v>
          </cell>
          <cell r="J148">
            <v>0</v>
          </cell>
          <cell r="K148">
            <v>0</v>
          </cell>
          <cell r="L148">
            <v>1581455156.5225</v>
          </cell>
          <cell r="M148">
            <v>129672096.0001</v>
          </cell>
          <cell r="R148">
            <v>301588086.23123145</v>
          </cell>
          <cell r="S148">
            <v>4201001821.7985001</v>
          </cell>
          <cell r="T148">
            <v>18991685085.88382</v>
          </cell>
          <cell r="U148">
            <v>14941066247.338379</v>
          </cell>
          <cell r="V148">
            <v>3317409634.5526843</v>
          </cell>
          <cell r="W148">
            <v>733209203.99275541</v>
          </cell>
          <cell r="X148">
            <v>6301350561.6090374</v>
          </cell>
          <cell r="AK148">
            <v>6301350561.6090374</v>
          </cell>
          <cell r="AX148">
            <v>6301350561.6090374</v>
          </cell>
          <cell r="BK148">
            <v>6301350561.6090374</v>
          </cell>
          <cell r="CB148">
            <v>0</v>
          </cell>
        </row>
        <row r="149">
          <cell r="H149">
            <v>0</v>
          </cell>
          <cell r="I149">
            <v>0</v>
          </cell>
          <cell r="J149">
            <v>0</v>
          </cell>
          <cell r="K149">
            <v>0</v>
          </cell>
          <cell r="L149">
            <v>1497119223.6008999</v>
          </cell>
          <cell r="M149">
            <v>401789352.00005001</v>
          </cell>
          <cell r="R149">
            <v>315387152.63082618</v>
          </cell>
          <cell r="S149">
            <v>5446174855.7154999</v>
          </cell>
          <cell r="T149">
            <v>14385158155.965343</v>
          </cell>
          <cell r="U149">
            <v>9222960942.3021774</v>
          </cell>
          <cell r="V149">
            <v>4497334609.6698704</v>
          </cell>
          <cell r="W149">
            <v>664862603.99329543</v>
          </cell>
          <cell r="X149">
            <v>5511407184.9781551</v>
          </cell>
          <cell r="AK149">
            <v>5511407184.9781551</v>
          </cell>
          <cell r="AX149">
            <v>5511407184.9781551</v>
          </cell>
          <cell r="BK149">
            <v>5511407184.9781551</v>
          </cell>
          <cell r="CB149">
            <v>0</v>
          </cell>
        </row>
        <row r="150">
          <cell r="H150">
            <v>0</v>
          </cell>
          <cell r="I150">
            <v>0</v>
          </cell>
          <cell r="J150">
            <v>0</v>
          </cell>
          <cell r="K150">
            <v>0</v>
          </cell>
          <cell r="L150">
            <v>2610938914.3232999</v>
          </cell>
          <cell r="M150">
            <v>265112891.00002</v>
          </cell>
          <cell r="R150">
            <v>568307845.42922235</v>
          </cell>
          <cell r="S150">
            <v>3750040747.3189998</v>
          </cell>
          <cell r="T150">
            <v>18551258171.857738</v>
          </cell>
          <cell r="U150">
            <v>15191114081.628246</v>
          </cell>
          <cell r="V150">
            <v>2883612738.2341976</v>
          </cell>
          <cell r="W150">
            <v>476531351.99529821</v>
          </cell>
          <cell r="X150">
            <v>6436414642.4823217</v>
          </cell>
          <cell r="AK150">
            <v>6436414642.4823217</v>
          </cell>
          <cell r="AX150">
            <v>6436414642.4823217</v>
          </cell>
          <cell r="BK150">
            <v>6436414642.4823217</v>
          </cell>
          <cell r="CB150">
            <v>0</v>
          </cell>
        </row>
        <row r="151">
          <cell r="H151">
            <v>0</v>
          </cell>
          <cell r="I151">
            <v>0</v>
          </cell>
          <cell r="J151">
            <v>0</v>
          </cell>
          <cell r="K151">
            <v>0</v>
          </cell>
          <cell r="L151">
            <v>2724520740.4826002</v>
          </cell>
          <cell r="M151">
            <v>462800363.99997997</v>
          </cell>
          <cell r="R151">
            <v>299111875.19105649</v>
          </cell>
          <cell r="S151">
            <v>3488015491.5588999</v>
          </cell>
          <cell r="T151">
            <v>12123457175.02445</v>
          </cell>
          <cell r="U151">
            <v>9656747173.673811</v>
          </cell>
          <cell r="V151">
            <v>1946099025.3560383</v>
          </cell>
          <cell r="W151">
            <v>520610975.99460077</v>
          </cell>
          <cell r="X151">
            <v>4774476411.5642462</v>
          </cell>
          <cell r="AK151">
            <v>4774476411.5642462</v>
          </cell>
          <cell r="AX151">
            <v>4774476411.5642462</v>
          </cell>
          <cell r="BK151">
            <v>4774476411.5642462</v>
          </cell>
          <cell r="CB151">
            <v>0</v>
          </cell>
        </row>
        <row r="152">
          <cell r="H152">
            <v>0</v>
          </cell>
          <cell r="I152">
            <v>0</v>
          </cell>
          <cell r="J152">
            <v>0</v>
          </cell>
          <cell r="K152">
            <v>0</v>
          </cell>
          <cell r="L152">
            <v>1266520223.6812999</v>
          </cell>
          <cell r="M152">
            <v>73618727.999981999</v>
          </cell>
          <cell r="R152">
            <v>342263707.59097773</v>
          </cell>
          <cell r="S152">
            <v>1567995276.4795001</v>
          </cell>
          <cell r="T152">
            <v>6393748035.7799187</v>
          </cell>
          <cell r="U152">
            <v>5337484955.4631786</v>
          </cell>
          <cell r="V152">
            <v>841433668.3189106</v>
          </cell>
          <cell r="W152">
            <v>214829411.99782953</v>
          </cell>
          <cell r="X152">
            <v>2411036492.8829198</v>
          </cell>
          <cell r="AK152">
            <v>2411036492.8829198</v>
          </cell>
          <cell r="AX152">
            <v>2411036492.8829198</v>
          </cell>
          <cell r="BK152">
            <v>2411036492.8829198</v>
          </cell>
          <cell r="CB152">
            <v>0</v>
          </cell>
        </row>
        <row r="153">
          <cell r="H153">
            <v>0</v>
          </cell>
          <cell r="I153">
            <v>0</v>
          </cell>
          <cell r="J153">
            <v>0</v>
          </cell>
          <cell r="K153">
            <v>0</v>
          </cell>
          <cell r="L153">
            <v>1085435157.0816</v>
          </cell>
          <cell r="M153">
            <v>44746679.999898002</v>
          </cell>
          <cell r="R153">
            <v>411413655.86971283</v>
          </cell>
          <cell r="S153">
            <v>1828087148.5838001</v>
          </cell>
          <cell r="T153">
            <v>1506943254.2759008</v>
          </cell>
          <cell r="U153">
            <v>1068067634.4220022</v>
          </cell>
          <cell r="V153">
            <v>349410948.53440529</v>
          </cell>
          <cell r="W153">
            <v>89464671.319493309</v>
          </cell>
          <cell r="X153">
            <v>1219156473.9527278</v>
          </cell>
          <cell r="AK153">
            <v>1219156473.9527278</v>
          </cell>
          <cell r="AX153">
            <v>1219156473.9527278</v>
          </cell>
          <cell r="BK153">
            <v>1219156473.9527278</v>
          </cell>
          <cell r="CB153">
            <v>0</v>
          </cell>
        </row>
        <row r="154">
          <cell r="H154">
            <v>0</v>
          </cell>
          <cell r="I154">
            <v>0</v>
          </cell>
          <cell r="J154">
            <v>0</v>
          </cell>
          <cell r="K154">
            <v>0</v>
          </cell>
          <cell r="L154">
            <v>2089958532.7224</v>
          </cell>
          <cell r="M154">
            <v>61405932.000014</v>
          </cell>
          <cell r="R154">
            <v>501746223.10968673</v>
          </cell>
          <cell r="S154">
            <v>4219034887.1587</v>
          </cell>
          <cell r="T154">
            <v>14512064231.365128</v>
          </cell>
          <cell r="U154">
            <v>12664177202.251066</v>
          </cell>
          <cell r="V154">
            <v>1534329369.1171691</v>
          </cell>
          <cell r="W154">
            <v>313557659.99689364</v>
          </cell>
          <cell r="X154">
            <v>5346052451.5889826</v>
          </cell>
          <cell r="AK154">
            <v>5346052451.5889826</v>
          </cell>
          <cell r="AX154">
            <v>5346052451.5889826</v>
          </cell>
          <cell r="BK154">
            <v>5346052451.5889826</v>
          </cell>
          <cell r="CB154">
            <v>0</v>
          </cell>
        </row>
        <row r="155">
          <cell r="H155">
            <v>0</v>
          </cell>
          <cell r="I155">
            <v>0</v>
          </cell>
          <cell r="J155">
            <v>0</v>
          </cell>
          <cell r="K155">
            <v>0</v>
          </cell>
          <cell r="L155">
            <v>1565551786.8013</v>
          </cell>
          <cell r="M155">
            <v>246807536.00005001</v>
          </cell>
          <cell r="R155">
            <v>342348586.5507912</v>
          </cell>
          <cell r="S155">
            <v>2862862743.9998999</v>
          </cell>
          <cell r="T155">
            <v>11457996449.138891</v>
          </cell>
          <cell r="U155">
            <v>8666069409.1468811</v>
          </cell>
          <cell r="V155">
            <v>2469516955.9950829</v>
          </cell>
          <cell r="W155">
            <v>322410083.9969272</v>
          </cell>
          <cell r="X155">
            <v>4118891775.6227331</v>
          </cell>
          <cell r="AK155">
            <v>4118891775.6227331</v>
          </cell>
          <cell r="AX155">
            <v>4118891775.6227331</v>
          </cell>
          <cell r="BK155">
            <v>4118891775.6227331</v>
          </cell>
          <cell r="CB155">
            <v>0</v>
          </cell>
        </row>
        <row r="156">
          <cell r="H156">
            <v>0</v>
          </cell>
          <cell r="I156">
            <v>0</v>
          </cell>
          <cell r="J156">
            <v>0</v>
          </cell>
          <cell r="K156">
            <v>0</v>
          </cell>
          <cell r="L156">
            <v>1642761402.7839</v>
          </cell>
          <cell r="M156">
            <v>526520135.99993998</v>
          </cell>
          <cell r="R156">
            <v>587160336.53433681</v>
          </cell>
          <cell r="S156">
            <v>4237300818.0917001</v>
          </cell>
          <cell r="T156">
            <v>11123295449.967613</v>
          </cell>
          <cell r="U156">
            <v>8474047725.4218092</v>
          </cell>
          <cell r="V156">
            <v>2031516110.2496672</v>
          </cell>
          <cell r="W156">
            <v>617731614.2961359</v>
          </cell>
          <cell r="X156">
            <v>4529259535.8443727</v>
          </cell>
          <cell r="AK156">
            <v>4529259535.8443727</v>
          </cell>
          <cell r="AX156">
            <v>4529259535.8443727</v>
          </cell>
          <cell r="BK156">
            <v>4529259535.8443727</v>
          </cell>
          <cell r="CB156">
            <v>0</v>
          </cell>
        </row>
        <row r="157">
          <cell r="H157">
            <v>0</v>
          </cell>
          <cell r="I157">
            <v>0</v>
          </cell>
          <cell r="J157">
            <v>0</v>
          </cell>
          <cell r="K157">
            <v>0</v>
          </cell>
          <cell r="L157">
            <v>1558070666.0418</v>
          </cell>
          <cell r="M157">
            <v>151128467.99992001</v>
          </cell>
          <cell r="R157">
            <v>284488199.19107968</v>
          </cell>
          <cell r="S157">
            <v>2465973300.8789001</v>
          </cell>
          <cell r="T157">
            <v>2954371254.1598415</v>
          </cell>
          <cell r="U157">
            <v>2126265169.3629696</v>
          </cell>
          <cell r="V157">
            <v>590862880.79941893</v>
          </cell>
          <cell r="W157">
            <v>237243203.99745253</v>
          </cell>
          <cell r="X157">
            <v>1853507972.0678849</v>
          </cell>
          <cell r="AK157">
            <v>1853507972.0678849</v>
          </cell>
          <cell r="AX157">
            <v>1853507972.0678849</v>
          </cell>
          <cell r="BK157">
            <v>1853507972.0678849</v>
          </cell>
          <cell r="CB157">
            <v>0</v>
          </cell>
        </row>
        <row r="158">
          <cell r="H158">
            <v>0</v>
          </cell>
          <cell r="I158">
            <v>0</v>
          </cell>
          <cell r="J158">
            <v>0</v>
          </cell>
          <cell r="K158">
            <v>0</v>
          </cell>
          <cell r="L158">
            <v>2540622663.1230001</v>
          </cell>
          <cell r="M158">
            <v>656283824.00009</v>
          </cell>
          <cell r="R158">
            <v>503514431.2698018</v>
          </cell>
          <cell r="S158">
            <v>6459425201.2363005</v>
          </cell>
          <cell r="T158">
            <v>22700815815.04538</v>
          </cell>
          <cell r="U158">
            <v>19275354537.533871</v>
          </cell>
          <cell r="V158">
            <v>3196561997.5137663</v>
          </cell>
          <cell r="W158">
            <v>228899279.99773997</v>
          </cell>
          <cell r="X158">
            <v>8215165483.668643</v>
          </cell>
          <cell r="AK158">
            <v>8215165483.668643</v>
          </cell>
          <cell r="AX158">
            <v>8215165483.668643</v>
          </cell>
          <cell r="BK158">
            <v>8215165483.668643</v>
          </cell>
          <cell r="CB158">
            <v>0</v>
          </cell>
        </row>
        <row r="159">
          <cell r="H159">
            <v>0</v>
          </cell>
          <cell r="I159">
            <v>0</v>
          </cell>
          <cell r="J159">
            <v>0</v>
          </cell>
          <cell r="K159">
            <v>0</v>
          </cell>
          <cell r="L159">
            <v>1421086604.2811999</v>
          </cell>
          <cell r="M159">
            <v>57976524.000001997</v>
          </cell>
          <cell r="R159">
            <v>181652173.91184554</v>
          </cell>
          <cell r="S159">
            <v>2198172680.1192002</v>
          </cell>
          <cell r="T159">
            <v>5733389842.0863771</v>
          </cell>
          <cell r="U159">
            <v>4691044687.2102365</v>
          </cell>
          <cell r="V159">
            <v>874854338.87772226</v>
          </cell>
          <cell r="W159">
            <v>167490815.99841747</v>
          </cell>
          <cell r="X159">
            <v>2398069456.0996561</v>
          </cell>
          <cell r="AK159">
            <v>2398069456.0996561</v>
          </cell>
          <cell r="AX159">
            <v>2398069456.0996561</v>
          </cell>
          <cell r="BK159">
            <v>2398069456.0996561</v>
          </cell>
          <cell r="CB159">
            <v>0</v>
          </cell>
        </row>
        <row r="160">
          <cell r="H160">
            <v>0</v>
          </cell>
          <cell r="I160">
            <v>0</v>
          </cell>
          <cell r="J160">
            <v>0</v>
          </cell>
          <cell r="K160">
            <v>0</v>
          </cell>
          <cell r="L160">
            <v>1346857345.4409001</v>
          </cell>
          <cell r="M160">
            <v>131882220.00004999</v>
          </cell>
          <cell r="R160">
            <v>181652173.91184554</v>
          </cell>
          <cell r="S160">
            <v>3142077016.4368</v>
          </cell>
          <cell r="T160">
            <v>12869299284.490736</v>
          </cell>
          <cell r="U160">
            <v>10234539518.417393</v>
          </cell>
          <cell r="V160">
            <v>2528248390.0743723</v>
          </cell>
          <cell r="W160">
            <v>106511375.99897142</v>
          </cell>
          <cell r="X160">
            <v>4417942010.0700827</v>
          </cell>
          <cell r="AK160">
            <v>4417942010.0700827</v>
          </cell>
          <cell r="AX160">
            <v>4417942010.0700827</v>
          </cell>
          <cell r="BK160">
            <v>4417942010.0700827</v>
          </cell>
          <cell r="CB160">
            <v>0</v>
          </cell>
        </row>
        <row r="161">
          <cell r="H161">
            <v>0</v>
          </cell>
          <cell r="I161">
            <v>0</v>
          </cell>
          <cell r="J161">
            <v>0</v>
          </cell>
          <cell r="K161">
            <v>0</v>
          </cell>
          <cell r="L161">
            <v>2396218822.0818</v>
          </cell>
          <cell r="M161">
            <v>159909900.00007999</v>
          </cell>
          <cell r="R161">
            <v>584706372.38920999</v>
          </cell>
          <cell r="S161">
            <v>1328684948.5585999</v>
          </cell>
          <cell r="T161">
            <v>4109287191.9722958</v>
          </cell>
          <cell r="U161">
            <v>3797766044.7727294</v>
          </cell>
          <cell r="V161">
            <v>301694059.19980609</v>
          </cell>
          <cell r="W161">
            <v>9827087.9997600466</v>
          </cell>
          <cell r="X161">
            <v>2144701808.7504964</v>
          </cell>
          <cell r="AK161">
            <v>2144701808.7504964</v>
          </cell>
          <cell r="AX161">
            <v>2144701808.7504964</v>
          </cell>
          <cell r="BK161">
            <v>2144701808.7504964</v>
          </cell>
          <cell r="CB161">
            <v>0</v>
          </cell>
        </row>
        <row r="162">
          <cell r="H162">
            <v>0</v>
          </cell>
          <cell r="I162">
            <v>0</v>
          </cell>
          <cell r="J162">
            <v>0</v>
          </cell>
          <cell r="K162">
            <v>0</v>
          </cell>
          <cell r="L162">
            <v>1323376527.2419</v>
          </cell>
          <cell r="M162">
            <v>371932579.99993002</v>
          </cell>
          <cell r="R162">
            <v>314110334.1509999</v>
          </cell>
          <cell r="S162">
            <v>2607411874.1197</v>
          </cell>
          <cell r="T162">
            <v>6433586998.5678339</v>
          </cell>
          <cell r="U162">
            <v>5455568323.452898</v>
          </cell>
          <cell r="V162">
            <v>664461015.11804223</v>
          </cell>
          <cell r="W162">
            <v>313557659.99689364</v>
          </cell>
          <cell r="X162">
            <v>2762604578.5200911</v>
          </cell>
          <cell r="AK162">
            <v>2762604578.5200911</v>
          </cell>
          <cell r="AX162">
            <v>2762604578.5200911</v>
          </cell>
          <cell r="BK162">
            <v>2762604578.5200911</v>
          </cell>
          <cell r="CB162">
            <v>0</v>
          </cell>
        </row>
        <row r="163">
          <cell r="H163">
            <v>0</v>
          </cell>
          <cell r="I163">
            <v>0</v>
          </cell>
          <cell r="J163">
            <v>0</v>
          </cell>
          <cell r="K163">
            <v>0</v>
          </cell>
          <cell r="L163">
            <v>2078755652.4796</v>
          </cell>
          <cell r="M163">
            <v>193085256.00005001</v>
          </cell>
          <cell r="R163">
            <v>325342097.5029338</v>
          </cell>
          <cell r="S163">
            <v>4932954915.8184004</v>
          </cell>
          <cell r="T163">
            <v>12240184561.168573</v>
          </cell>
          <cell r="U163">
            <v>10261637238.566467</v>
          </cell>
          <cell r="V163">
            <v>1797046054.2467399</v>
          </cell>
          <cell r="W163">
            <v>181501268.35536584</v>
          </cell>
          <cell r="X163">
            <v>4942580620.7423897</v>
          </cell>
          <cell r="AK163">
            <v>4942580620.7423897</v>
          </cell>
          <cell r="AX163">
            <v>4942580620.7423897</v>
          </cell>
          <cell r="BK163">
            <v>4942580620.7423897</v>
          </cell>
          <cell r="CB163">
            <v>0</v>
          </cell>
        </row>
        <row r="164">
          <cell r="H164">
            <v>0</v>
          </cell>
          <cell r="I164">
            <v>0</v>
          </cell>
          <cell r="J164">
            <v>0</v>
          </cell>
          <cell r="K164">
            <v>0</v>
          </cell>
          <cell r="L164">
            <v>1466789986.2751</v>
          </cell>
          <cell r="M164">
            <v>151205880.00002</v>
          </cell>
          <cell r="R164">
            <v>289219575.83123207</v>
          </cell>
          <cell r="S164">
            <v>3634441023.1925998</v>
          </cell>
          <cell r="T164">
            <v>7387119177.7009153</v>
          </cell>
          <cell r="U164">
            <v>6212431238.3567924</v>
          </cell>
          <cell r="V164">
            <v>1070999291.1915312</v>
          </cell>
          <cell r="W164">
            <v>103688648.15259132</v>
          </cell>
          <cell r="X164">
            <v>3232193910.7499666</v>
          </cell>
          <cell r="AK164">
            <v>3232193910.7499666</v>
          </cell>
          <cell r="AX164">
            <v>3232193910.7499666</v>
          </cell>
          <cell r="BK164">
            <v>3232193910.7499666</v>
          </cell>
          <cell r="CB164">
            <v>0</v>
          </cell>
        </row>
        <row r="165">
          <cell r="H165">
            <v>0</v>
          </cell>
          <cell r="I165">
            <v>0</v>
          </cell>
          <cell r="J165">
            <v>0</v>
          </cell>
          <cell r="K165">
            <v>0</v>
          </cell>
          <cell r="L165">
            <v>1093709531.931</v>
          </cell>
          <cell r="M165">
            <v>128403995.99995001</v>
          </cell>
          <cell r="R165">
            <v>358504475.52049339</v>
          </cell>
          <cell r="S165">
            <v>995432954.52127004</v>
          </cell>
          <cell r="T165">
            <v>1820237410.6076913</v>
          </cell>
          <cell r="U165">
            <v>1303387743.1871605</v>
          </cell>
          <cell r="V165">
            <v>149791135.71693167</v>
          </cell>
          <cell r="W165">
            <v>367058531.7035991</v>
          </cell>
          <cell r="X165">
            <v>1099072092.1451011</v>
          </cell>
          <cell r="AK165">
            <v>1099072092.1451011</v>
          </cell>
          <cell r="AX165">
            <v>1099072092.1451011</v>
          </cell>
          <cell r="BK165">
            <v>1099072092.1451011</v>
          </cell>
          <cell r="CB165">
            <v>0</v>
          </cell>
        </row>
        <row r="166">
          <cell r="H166">
            <v>0</v>
          </cell>
          <cell r="I166">
            <v>0</v>
          </cell>
          <cell r="J166">
            <v>0</v>
          </cell>
          <cell r="K166">
            <v>0</v>
          </cell>
          <cell r="L166">
            <v>1166067509.8814001</v>
          </cell>
          <cell r="M166">
            <v>188369207.99991</v>
          </cell>
          <cell r="R166">
            <v>275001877.91121328</v>
          </cell>
          <cell r="S166">
            <v>1748825232.089</v>
          </cell>
          <cell r="T166">
            <v>5608274194.9061632</v>
          </cell>
          <cell r="U166">
            <v>4646477655.1103611</v>
          </cell>
          <cell r="V166">
            <v>804297475.79753149</v>
          </cell>
          <cell r="W166">
            <v>157499063.99827111</v>
          </cell>
          <cell r="X166">
            <v>2246634505.6969218</v>
          </cell>
          <cell r="AK166">
            <v>2246634505.6969218</v>
          </cell>
          <cell r="AX166">
            <v>2246634505.6969218</v>
          </cell>
          <cell r="BK166">
            <v>2246634505.6969218</v>
          </cell>
          <cell r="CB166">
            <v>0</v>
          </cell>
        </row>
        <row r="167">
          <cell r="H167">
            <v>0</v>
          </cell>
          <cell r="I167">
            <v>0</v>
          </cell>
          <cell r="J167">
            <v>0</v>
          </cell>
          <cell r="K167">
            <v>0</v>
          </cell>
          <cell r="L167">
            <v>1806000120.1212001</v>
          </cell>
          <cell r="M167">
            <v>622793195.99998999</v>
          </cell>
          <cell r="R167">
            <v>566231751.1093781</v>
          </cell>
          <cell r="S167">
            <v>3228061377.2393999</v>
          </cell>
          <cell r="T167">
            <v>8385122262.8998585</v>
          </cell>
          <cell r="U167">
            <v>7071794159.2269535</v>
          </cell>
          <cell r="V167">
            <v>859711483.67737484</v>
          </cell>
          <cell r="W167">
            <v>453616619.99553001</v>
          </cell>
          <cell r="X167">
            <v>3652052176.8424559</v>
          </cell>
          <cell r="AK167">
            <v>3652052176.8424559</v>
          </cell>
          <cell r="AX167">
            <v>3652052176.8424559</v>
          </cell>
          <cell r="BK167">
            <v>3652052176.8424559</v>
          </cell>
          <cell r="CB167">
            <v>0</v>
          </cell>
        </row>
        <row r="168">
          <cell r="H168">
            <v>0</v>
          </cell>
          <cell r="I168">
            <v>0</v>
          </cell>
          <cell r="J168">
            <v>0</v>
          </cell>
          <cell r="K168">
            <v>0</v>
          </cell>
          <cell r="L168">
            <v>1353092377.5215001</v>
          </cell>
          <cell r="M168">
            <v>0</v>
          </cell>
          <cell r="R168">
            <v>341099075.51102298</v>
          </cell>
          <cell r="S168">
            <v>1787467985.5193999</v>
          </cell>
          <cell r="T168">
            <v>11826295341.466904</v>
          </cell>
          <cell r="U168">
            <v>9066298084.9182911</v>
          </cell>
          <cell r="V168">
            <v>2214195508.5541692</v>
          </cell>
          <cell r="W168">
            <v>545801747.99444389</v>
          </cell>
          <cell r="X168">
            <v>3826988695.0047064</v>
          </cell>
          <cell r="AK168">
            <v>3826988695.0047064</v>
          </cell>
          <cell r="AX168">
            <v>3826988695.0047064</v>
          </cell>
          <cell r="BK168">
            <v>3826988695.0047064</v>
          </cell>
          <cell r="CB168">
            <v>0</v>
          </cell>
        </row>
        <row r="169">
          <cell r="H169">
            <v>0</v>
          </cell>
          <cell r="I169">
            <v>0</v>
          </cell>
          <cell r="J169">
            <v>0</v>
          </cell>
          <cell r="K169">
            <v>0</v>
          </cell>
          <cell r="L169">
            <v>1632240514.9210999</v>
          </cell>
          <cell r="M169">
            <v>518764895.99994999</v>
          </cell>
          <cell r="R169">
            <v>504692755.42977172</v>
          </cell>
          <cell r="S169">
            <v>4626282814.9160004</v>
          </cell>
          <cell r="T169">
            <v>22245556561.128082</v>
          </cell>
          <cell r="U169">
            <v>16882266591.541676</v>
          </cell>
          <cell r="V169">
            <v>5107806033.5888157</v>
          </cell>
          <cell r="W169">
            <v>255483935.99758923</v>
          </cell>
          <cell r="X169">
            <v>7381884385.5987263</v>
          </cell>
          <cell r="AK169">
            <v>7381884385.5987263</v>
          </cell>
          <cell r="AX169">
            <v>7381884385.5987263</v>
          </cell>
          <cell r="BK169">
            <v>7381884385.5987263</v>
          </cell>
          <cell r="CB169">
            <v>0</v>
          </cell>
        </row>
        <row r="170">
          <cell r="H170">
            <v>0</v>
          </cell>
          <cell r="I170">
            <v>0</v>
          </cell>
          <cell r="J170">
            <v>0</v>
          </cell>
          <cell r="K170">
            <v>0</v>
          </cell>
          <cell r="L170">
            <v>1104863181.2807</v>
          </cell>
          <cell r="M170">
            <v>0</v>
          </cell>
          <cell r="R170">
            <v>295227055.1909529</v>
          </cell>
          <cell r="S170">
            <v>1579352512.0785999</v>
          </cell>
          <cell r="T170">
            <v>6453976667.5727406</v>
          </cell>
          <cell r="U170">
            <v>5000708019.1791105</v>
          </cell>
          <cell r="V170">
            <v>1130562476.3970373</v>
          </cell>
          <cell r="W170">
            <v>322706171.996593</v>
          </cell>
          <cell r="X170">
            <v>2358354854.0307484</v>
          </cell>
          <cell r="AK170">
            <v>2358354854.0307484</v>
          </cell>
          <cell r="AX170">
            <v>2358354854.0307484</v>
          </cell>
          <cell r="BK170">
            <v>2358354854.0307484</v>
          </cell>
          <cell r="CB170">
            <v>0</v>
          </cell>
        </row>
        <row r="171">
          <cell r="H171">
            <v>0</v>
          </cell>
          <cell r="I171">
            <v>0</v>
          </cell>
          <cell r="J171">
            <v>0</v>
          </cell>
          <cell r="K171">
            <v>0</v>
          </cell>
          <cell r="L171">
            <v>1458993194.6006999</v>
          </cell>
          <cell r="M171">
            <v>0</v>
          </cell>
          <cell r="R171">
            <v>329846050.07100135</v>
          </cell>
          <cell r="S171">
            <v>3193497621.1975999</v>
          </cell>
          <cell r="T171">
            <v>5810730278.0376568</v>
          </cell>
          <cell r="U171">
            <v>5049789453.0004969</v>
          </cell>
          <cell r="V171">
            <v>718373465.0377171</v>
          </cell>
          <cell r="W171">
            <v>42567359.999442711</v>
          </cell>
          <cell r="X171">
            <v>2698266785.9767394</v>
          </cell>
          <cell r="AK171">
            <v>2698266785.9767394</v>
          </cell>
          <cell r="AX171">
            <v>2698266785.9767394</v>
          </cell>
          <cell r="BK171">
            <v>2698266785.9767394</v>
          </cell>
          <cell r="CB171">
            <v>0</v>
          </cell>
        </row>
        <row r="172">
          <cell r="H172">
            <v>0</v>
          </cell>
          <cell r="I172">
            <v>0</v>
          </cell>
          <cell r="J172">
            <v>0</v>
          </cell>
          <cell r="K172">
            <v>0</v>
          </cell>
          <cell r="L172">
            <v>1507130978.8017001</v>
          </cell>
          <cell r="M172">
            <v>326955511.99997002</v>
          </cell>
          <cell r="R172">
            <v>645657396.78321648</v>
          </cell>
          <cell r="S172">
            <v>2676222041.5832</v>
          </cell>
          <cell r="T172">
            <v>13282054746.43693</v>
          </cell>
          <cell r="U172">
            <v>11293066437.242838</v>
          </cell>
          <cell r="V172">
            <v>1885035417.1951487</v>
          </cell>
          <cell r="W172">
            <v>103952891.99894421</v>
          </cell>
          <cell r="X172">
            <v>4609505168.9012537</v>
          </cell>
          <cell r="AK172">
            <v>4609505168.9012537</v>
          </cell>
          <cell r="AX172">
            <v>4609505168.9012537</v>
          </cell>
          <cell r="BK172">
            <v>4609505168.9012537</v>
          </cell>
          <cell r="CB172">
            <v>0</v>
          </cell>
        </row>
        <row r="173">
          <cell r="H173">
            <v>0</v>
          </cell>
          <cell r="I173">
            <v>0</v>
          </cell>
          <cell r="J173">
            <v>0</v>
          </cell>
          <cell r="K173">
            <v>0</v>
          </cell>
          <cell r="L173">
            <v>1817361793.2026999</v>
          </cell>
          <cell r="M173">
            <v>526102368</v>
          </cell>
          <cell r="R173">
            <v>280008392.15121251</v>
          </cell>
          <cell r="S173">
            <v>3567882816.9576001</v>
          </cell>
          <cell r="T173">
            <v>13743206509.658094</v>
          </cell>
          <cell r="U173">
            <v>10274812075.188614</v>
          </cell>
          <cell r="V173">
            <v>3015592818.4740324</v>
          </cell>
          <cell r="W173">
            <v>452801615.9954465</v>
          </cell>
          <cell r="X173">
            <v>4983640469.9924021</v>
          </cell>
          <cell r="AK173">
            <v>4983640469.9924021</v>
          </cell>
          <cell r="AX173">
            <v>4983640469.9924021</v>
          </cell>
          <cell r="BK173">
            <v>4983640469.9924021</v>
          </cell>
          <cell r="CB173">
            <v>0</v>
          </cell>
        </row>
        <row r="174">
          <cell r="H174">
            <v>0</v>
          </cell>
          <cell r="I174">
            <v>0</v>
          </cell>
          <cell r="J174">
            <v>0</v>
          </cell>
          <cell r="K174">
            <v>0</v>
          </cell>
          <cell r="L174">
            <v>1776892437.2425001</v>
          </cell>
          <cell r="M174">
            <v>0</v>
          </cell>
          <cell r="R174">
            <v>474938858.62998933</v>
          </cell>
          <cell r="S174">
            <v>2128821177.8392</v>
          </cell>
          <cell r="T174">
            <v>15749099024.183926</v>
          </cell>
          <cell r="U174">
            <v>11869593596.922487</v>
          </cell>
          <cell r="V174">
            <v>2515440515.275105</v>
          </cell>
          <cell r="W174">
            <v>1364064911.9863346</v>
          </cell>
          <cell r="X174">
            <v>5032437874.4739037</v>
          </cell>
          <cell r="AK174">
            <v>5032437874.4739037</v>
          </cell>
          <cell r="AX174">
            <v>5032437874.4739037</v>
          </cell>
          <cell r="BK174">
            <v>5032437874.4739037</v>
          </cell>
          <cell r="CB174">
            <v>0</v>
          </cell>
        </row>
        <row r="175">
          <cell r="H175">
            <v>0</v>
          </cell>
          <cell r="I175">
            <v>0</v>
          </cell>
          <cell r="J175">
            <v>0</v>
          </cell>
          <cell r="K175">
            <v>0</v>
          </cell>
          <cell r="L175">
            <v>1152210418.5214</v>
          </cell>
          <cell r="M175">
            <v>0</v>
          </cell>
          <cell r="R175">
            <v>317203034.05455577</v>
          </cell>
          <cell r="S175">
            <v>1125901459.3803</v>
          </cell>
          <cell r="T175">
            <v>3465351523.536427</v>
          </cell>
          <cell r="U175">
            <v>3386271677.9871955</v>
          </cell>
          <cell r="V175">
            <v>79079845.549231306</v>
          </cell>
          <cell r="W175">
            <v>0</v>
          </cell>
          <cell r="X175">
            <v>1515166608.8731709</v>
          </cell>
          <cell r="AK175">
            <v>1515166608.8731709</v>
          </cell>
          <cell r="AX175">
            <v>1515166608.8731709</v>
          </cell>
          <cell r="BK175">
            <v>1515166608.8731709</v>
          </cell>
          <cell r="CB175">
            <v>0</v>
          </cell>
        </row>
        <row r="176">
          <cell r="H176">
            <v>0</v>
          </cell>
          <cell r="I176">
            <v>0</v>
          </cell>
          <cell r="J176">
            <v>0</v>
          </cell>
          <cell r="K176">
            <v>0</v>
          </cell>
          <cell r="L176">
            <v>1679083182.1215999</v>
          </cell>
          <cell r="M176">
            <v>165175703.99996999</v>
          </cell>
          <cell r="R176">
            <v>415733073.03029585</v>
          </cell>
          <cell r="S176">
            <v>3895704084.9977999</v>
          </cell>
          <cell r="T176">
            <v>5865774699.0078039</v>
          </cell>
          <cell r="U176">
            <v>4777311348.6126909</v>
          </cell>
          <cell r="V176">
            <v>745840838.39842546</v>
          </cell>
          <cell r="W176">
            <v>342622511.99668801</v>
          </cell>
          <cell r="X176">
            <v>3005367685.7893677</v>
          </cell>
          <cell r="AK176">
            <v>3005367685.7893677</v>
          </cell>
          <cell r="AX176">
            <v>3005367685.7893677</v>
          </cell>
          <cell r="BK176">
            <v>3005367685.7893677</v>
          </cell>
          <cell r="CB176">
            <v>0</v>
          </cell>
        </row>
        <row r="177">
          <cell r="H177">
            <v>0</v>
          </cell>
          <cell r="I177">
            <v>0</v>
          </cell>
          <cell r="J177">
            <v>0</v>
          </cell>
          <cell r="K177">
            <v>0</v>
          </cell>
          <cell r="L177">
            <v>1169700656.0012999</v>
          </cell>
          <cell r="M177">
            <v>143021927.99992999</v>
          </cell>
          <cell r="R177">
            <v>335830407.35090894</v>
          </cell>
          <cell r="S177">
            <v>2199093143.9983001</v>
          </cell>
          <cell r="T177">
            <v>9568876808.4736176</v>
          </cell>
          <cell r="U177">
            <v>6781843028.4805269</v>
          </cell>
          <cell r="V177">
            <v>2603701295.9947629</v>
          </cell>
          <cell r="W177">
            <v>183332483.99832731</v>
          </cell>
          <cell r="X177">
            <v>3354130735.9560142</v>
          </cell>
          <cell r="AK177">
            <v>3354130735.9560142</v>
          </cell>
          <cell r="AX177">
            <v>3354130735.9560142</v>
          </cell>
          <cell r="BK177">
            <v>3354130735.9560142</v>
          </cell>
          <cell r="CB177">
            <v>0</v>
          </cell>
        </row>
        <row r="178">
          <cell r="H178">
            <v>0</v>
          </cell>
          <cell r="I178">
            <v>0</v>
          </cell>
          <cell r="J178">
            <v>0</v>
          </cell>
          <cell r="K178">
            <v>0</v>
          </cell>
          <cell r="L178">
            <v>1824244335.8418</v>
          </cell>
          <cell r="M178">
            <v>1.9997358322143555E-5</v>
          </cell>
          <cell r="R178">
            <v>474958651.42990732</v>
          </cell>
          <cell r="S178">
            <v>2459833773.3579998</v>
          </cell>
          <cell r="T178">
            <v>11852033218.316217</v>
          </cell>
          <cell r="U178">
            <v>9435302413.4412289</v>
          </cell>
          <cell r="V178">
            <v>2393702324.875411</v>
          </cell>
          <cell r="W178">
            <v>23028479.999577723</v>
          </cell>
          <cell r="X178">
            <v>4152767494.7364864</v>
          </cell>
          <cell r="AK178">
            <v>4152767494.7364864</v>
          </cell>
          <cell r="AX178">
            <v>4152767494.7364864</v>
          </cell>
          <cell r="BK178">
            <v>4152767494.7364864</v>
          </cell>
          <cell r="CB178">
            <v>0</v>
          </cell>
        </row>
        <row r="179">
          <cell r="H179">
            <v>0</v>
          </cell>
          <cell r="I179">
            <v>0</v>
          </cell>
          <cell r="J179">
            <v>0</v>
          </cell>
          <cell r="K179">
            <v>0</v>
          </cell>
          <cell r="L179">
            <v>1914637119.5223</v>
          </cell>
          <cell r="M179">
            <v>10953252.000062</v>
          </cell>
          <cell r="R179">
            <v>415229270.39050812</v>
          </cell>
          <cell r="S179">
            <v>2567181019.1188002</v>
          </cell>
          <cell r="T179">
            <v>16060393142.574705</v>
          </cell>
          <cell r="U179">
            <v>11146515409.305222</v>
          </cell>
          <cell r="V179">
            <v>4600320073.2725916</v>
          </cell>
          <cell r="W179">
            <v>313557659.99689364</v>
          </cell>
          <cell r="X179">
            <v>5242098450.9015951</v>
          </cell>
          <cell r="AK179">
            <v>5242098450.9015951</v>
          </cell>
          <cell r="AX179">
            <v>5242098450.9015951</v>
          </cell>
          <cell r="BK179">
            <v>5242098450.9015951</v>
          </cell>
          <cell r="CB179">
            <v>0</v>
          </cell>
        </row>
        <row r="180">
          <cell r="H180">
            <v>0</v>
          </cell>
          <cell r="I180">
            <v>0</v>
          </cell>
          <cell r="J180">
            <v>0</v>
          </cell>
          <cell r="K180">
            <v>0</v>
          </cell>
          <cell r="L180">
            <v>1341738251.4682</v>
          </cell>
          <cell r="M180">
            <v>42232932.000074998</v>
          </cell>
          <cell r="R180">
            <v>235431065.51140606</v>
          </cell>
          <cell r="S180">
            <v>1334490271.8529</v>
          </cell>
          <cell r="T180">
            <v>4103875073.4698653</v>
          </cell>
          <cell r="U180">
            <v>3757755912.2195539</v>
          </cell>
          <cell r="V180">
            <v>269105717.78471971</v>
          </cell>
          <cell r="W180">
            <v>77013443.465592071</v>
          </cell>
          <cell r="X180">
            <v>1764441898.5756116</v>
          </cell>
          <cell r="AK180">
            <v>1764441898.5756116</v>
          </cell>
          <cell r="AX180">
            <v>1764441898.5756116</v>
          </cell>
          <cell r="BK180">
            <v>1764441898.5756116</v>
          </cell>
          <cell r="CB180">
            <v>0</v>
          </cell>
        </row>
        <row r="181">
          <cell r="H181">
            <v>0</v>
          </cell>
          <cell r="I181">
            <v>0</v>
          </cell>
          <cell r="J181">
            <v>0</v>
          </cell>
          <cell r="K181">
            <v>0</v>
          </cell>
          <cell r="L181">
            <v>1261808896.9217</v>
          </cell>
          <cell r="M181">
            <v>351289704.00003999</v>
          </cell>
          <cell r="R181">
            <v>382655681.51056278</v>
          </cell>
          <cell r="S181">
            <v>2452989026.3193998</v>
          </cell>
          <cell r="T181">
            <v>8447604810.2403173</v>
          </cell>
          <cell r="U181">
            <v>7160191034.1648064</v>
          </cell>
          <cell r="V181">
            <v>957004492.07868004</v>
          </cell>
          <cell r="W181">
            <v>330409283.996831</v>
          </cell>
          <cell r="X181">
            <v>3224087029.7480049</v>
          </cell>
          <cell r="AK181">
            <v>3224087029.7480049</v>
          </cell>
          <cell r="AX181">
            <v>3224087029.7480049</v>
          </cell>
          <cell r="BK181">
            <v>3224087029.7480049</v>
          </cell>
          <cell r="CB181">
            <v>0</v>
          </cell>
        </row>
        <row r="182">
          <cell r="H182">
            <v>0</v>
          </cell>
          <cell r="I182">
            <v>0</v>
          </cell>
          <cell r="J182">
            <v>0</v>
          </cell>
          <cell r="K182">
            <v>0</v>
          </cell>
          <cell r="L182">
            <v>1976635074.0018001</v>
          </cell>
          <cell r="M182">
            <v>191177748.00009999</v>
          </cell>
          <cell r="R182">
            <v>284824676.63131601</v>
          </cell>
          <cell r="S182">
            <v>2876475982.947</v>
          </cell>
          <cell r="T182">
            <v>8487272132.4775267</v>
          </cell>
          <cell r="U182">
            <v>7569939170.7196655</v>
          </cell>
          <cell r="V182">
            <v>833790479.75879478</v>
          </cell>
          <cell r="W182">
            <v>83542481.999066144</v>
          </cell>
          <cell r="X182">
            <v>3454096403.5144358</v>
          </cell>
          <cell r="AK182">
            <v>3454096403.5144358</v>
          </cell>
          <cell r="AX182">
            <v>3454096403.5144358</v>
          </cell>
          <cell r="BK182">
            <v>3454096403.5144358</v>
          </cell>
          <cell r="CB182">
            <v>0</v>
          </cell>
        </row>
        <row r="183">
          <cell r="H183">
            <v>0</v>
          </cell>
          <cell r="I183">
            <v>0</v>
          </cell>
          <cell r="J183">
            <v>0</v>
          </cell>
          <cell r="K183">
            <v>0</v>
          </cell>
          <cell r="L183">
            <v>2013540492.8427</v>
          </cell>
          <cell r="M183">
            <v>365562392.00001001</v>
          </cell>
          <cell r="R183">
            <v>279251683.19105971</v>
          </cell>
          <cell r="S183">
            <v>4057121213.4373999</v>
          </cell>
          <cell r="T183">
            <v>17306665369.308029</v>
          </cell>
          <cell r="U183">
            <v>13865973806.039696</v>
          </cell>
          <cell r="V183">
            <v>3006893123.272737</v>
          </cell>
          <cell r="W183">
            <v>433798439.99559522</v>
          </cell>
          <cell r="X183">
            <v>6465617392.6947994</v>
          </cell>
          <cell r="AK183">
            <v>6005535287.6947994</v>
          </cell>
          <cell r="AX183">
            <v>6005535287.6947994</v>
          </cell>
          <cell r="BK183">
            <v>5545453182.6947994</v>
          </cell>
          <cell r="CB183">
            <v>0</v>
          </cell>
        </row>
        <row r="184">
          <cell r="H184">
            <v>0</v>
          </cell>
          <cell r="I184">
            <v>0</v>
          </cell>
          <cell r="J184">
            <v>0</v>
          </cell>
          <cell r="K184">
            <v>0</v>
          </cell>
          <cell r="L184">
            <v>1423389895.914</v>
          </cell>
          <cell r="M184">
            <v>39760835.999897003</v>
          </cell>
          <cell r="R184">
            <v>181652173.91184554</v>
          </cell>
          <cell r="S184">
            <v>2319335935.1280999</v>
          </cell>
          <cell r="T184">
            <v>7111149944.4337606</v>
          </cell>
          <cell r="U184">
            <v>5779556890.4418039</v>
          </cell>
          <cell r="V184">
            <v>865736934.28513503</v>
          </cell>
          <cell r="W184">
            <v>465856119.70682168</v>
          </cell>
          <cell r="X184">
            <v>2768822196.3469009</v>
          </cell>
          <cell r="AK184">
            <v>2768822196.3469009</v>
          </cell>
          <cell r="AX184">
            <v>2768822196.3469009</v>
          </cell>
          <cell r="BK184">
            <v>2768822196.3469009</v>
          </cell>
          <cell r="CB184">
            <v>0</v>
          </cell>
        </row>
        <row r="185">
          <cell r="H185">
            <v>0</v>
          </cell>
          <cell r="I185">
            <v>0</v>
          </cell>
          <cell r="J185">
            <v>0</v>
          </cell>
          <cell r="K185">
            <v>0</v>
          </cell>
          <cell r="L185">
            <v>1728371252.0423999</v>
          </cell>
          <cell r="M185">
            <v>98261543.999916002</v>
          </cell>
          <cell r="R185">
            <v>415286682.71044034</v>
          </cell>
          <cell r="S185">
            <v>3562598077.7982001</v>
          </cell>
          <cell r="T185">
            <v>11659771239.766788</v>
          </cell>
          <cell r="U185">
            <v>9634874194.9752407</v>
          </cell>
          <cell r="V185">
            <v>1481458708.7968583</v>
          </cell>
          <cell r="W185">
            <v>543438335.99469054</v>
          </cell>
          <cell r="X185">
            <v>4366072199.0794363</v>
          </cell>
          <cell r="AK185">
            <v>4366072199.0794363</v>
          </cell>
          <cell r="AX185">
            <v>4366072199.0794363</v>
          </cell>
          <cell r="BK185">
            <v>4366072199.0794363</v>
          </cell>
          <cell r="CB185">
            <v>0</v>
          </cell>
        </row>
        <row r="186">
          <cell r="H186">
            <v>0</v>
          </cell>
          <cell r="I186">
            <v>0</v>
          </cell>
          <cell r="J186">
            <v>0</v>
          </cell>
          <cell r="K186">
            <v>0</v>
          </cell>
          <cell r="L186">
            <v>2559196327.7233</v>
          </cell>
          <cell r="M186">
            <v>439046819.99992001</v>
          </cell>
          <cell r="R186">
            <v>474556529.98988819</v>
          </cell>
          <cell r="S186">
            <v>7240097419.9547997</v>
          </cell>
          <cell r="T186">
            <v>20909016004.792122</v>
          </cell>
          <cell r="U186">
            <v>17449827266.64201</v>
          </cell>
          <cell r="V186">
            <v>3065665130.1541162</v>
          </cell>
          <cell r="W186">
            <v>393523607.99599361</v>
          </cell>
          <cell r="X186">
            <v>7905478275.6150074</v>
          </cell>
          <cell r="AK186">
            <v>7905478275.6150074</v>
          </cell>
          <cell r="AX186">
            <v>7905478275.6150074</v>
          </cell>
          <cell r="BK186">
            <v>7905478275.6150074</v>
          </cell>
          <cell r="CB186">
            <v>0</v>
          </cell>
        </row>
        <row r="187">
          <cell r="H187">
            <v>0</v>
          </cell>
          <cell r="I187">
            <v>0</v>
          </cell>
          <cell r="J187">
            <v>0</v>
          </cell>
          <cell r="K187">
            <v>0</v>
          </cell>
          <cell r="L187">
            <v>1965593676.4816999</v>
          </cell>
          <cell r="M187">
            <v>377294615.99996001</v>
          </cell>
          <cell r="R187">
            <v>342236596.79073209</v>
          </cell>
          <cell r="S187">
            <v>2564578217.0391002</v>
          </cell>
          <cell r="T187">
            <v>13799941245.66449</v>
          </cell>
          <cell r="U187">
            <v>10545902668.875479</v>
          </cell>
          <cell r="V187">
            <v>2740615432.7941799</v>
          </cell>
          <cell r="W187">
            <v>513423143.99483055</v>
          </cell>
          <cell r="X187">
            <v>4762411087.9939957</v>
          </cell>
          <cell r="AK187">
            <v>4762411087.9939957</v>
          </cell>
          <cell r="AX187">
            <v>4762411087.9939957</v>
          </cell>
          <cell r="BK187">
            <v>4762411087.9939957</v>
          </cell>
          <cell r="CB187">
            <v>0</v>
          </cell>
        </row>
        <row r="188">
          <cell r="H188">
            <v>0</v>
          </cell>
          <cell r="I188">
            <v>0</v>
          </cell>
          <cell r="J188">
            <v>0</v>
          </cell>
          <cell r="K188">
            <v>0</v>
          </cell>
          <cell r="L188">
            <v>1384706284.3223</v>
          </cell>
          <cell r="M188">
            <v>87330034.999991998</v>
          </cell>
          <cell r="R188">
            <v>396607345.67030275</v>
          </cell>
          <cell r="S188">
            <v>1169524288.7205</v>
          </cell>
          <cell r="T188">
            <v>11683709236.952133</v>
          </cell>
          <cell r="U188">
            <v>10533609702.63512</v>
          </cell>
          <cell r="V188">
            <v>1004023246.3184228</v>
          </cell>
          <cell r="W188">
            <v>146076287.99858966</v>
          </cell>
          <cell r="X188">
            <v>3680469297.6663074</v>
          </cell>
          <cell r="AK188">
            <v>3680469297.6663074</v>
          </cell>
          <cell r="AX188">
            <v>3680469297.6663074</v>
          </cell>
          <cell r="BK188">
            <v>3680469297.6663074</v>
          </cell>
          <cell r="CB188">
            <v>0</v>
          </cell>
        </row>
        <row r="189">
          <cell r="H189">
            <v>0</v>
          </cell>
          <cell r="I189">
            <v>0</v>
          </cell>
          <cell r="J189">
            <v>0</v>
          </cell>
          <cell r="K189">
            <v>0</v>
          </cell>
          <cell r="L189">
            <v>1515716243.4424</v>
          </cell>
          <cell r="M189">
            <v>299624915.99992001</v>
          </cell>
          <cell r="R189">
            <v>303626118.67115664</v>
          </cell>
          <cell r="S189">
            <v>2420818972.3178</v>
          </cell>
          <cell r="T189">
            <v>9172637085.0816479</v>
          </cell>
          <cell r="U189">
            <v>7645129955.9653149</v>
          </cell>
          <cell r="V189">
            <v>1527507129.116333</v>
          </cell>
          <cell r="W189">
            <v>0</v>
          </cell>
          <cell r="X189">
            <v>3428105833.878231</v>
          </cell>
          <cell r="AK189">
            <v>3428105833.878231</v>
          </cell>
          <cell r="AX189">
            <v>3428105833.878231</v>
          </cell>
          <cell r="BK189">
            <v>3428105833.878231</v>
          </cell>
          <cell r="CB189">
            <v>0</v>
          </cell>
        </row>
        <row r="190">
          <cell r="H190">
            <v>0</v>
          </cell>
          <cell r="I190">
            <v>0</v>
          </cell>
          <cell r="J190">
            <v>0</v>
          </cell>
          <cell r="K190">
            <v>0</v>
          </cell>
          <cell r="L190">
            <v>1252931536.5613</v>
          </cell>
          <cell r="M190">
            <v>0</v>
          </cell>
          <cell r="R190">
            <v>365525264.6308009</v>
          </cell>
          <cell r="S190">
            <v>1227125531.6800001</v>
          </cell>
          <cell r="T190">
            <v>6875667874.1842375</v>
          </cell>
          <cell r="U190">
            <v>5379235311.9524155</v>
          </cell>
          <cell r="V190">
            <v>918430998.2377497</v>
          </cell>
          <cell r="W190">
            <v>578001563.9940722</v>
          </cell>
          <cell r="X190">
            <v>2430312551.7640843</v>
          </cell>
          <cell r="AK190">
            <v>2430312551.7640843</v>
          </cell>
          <cell r="AX190">
            <v>2430312551.7640843</v>
          </cell>
          <cell r="BK190">
            <v>2430312551.7640843</v>
          </cell>
          <cell r="CB190">
            <v>0</v>
          </cell>
        </row>
        <row r="191">
          <cell r="H191">
            <v>0</v>
          </cell>
          <cell r="I191">
            <v>0</v>
          </cell>
          <cell r="J191">
            <v>0</v>
          </cell>
          <cell r="K191">
            <v>0</v>
          </cell>
          <cell r="L191">
            <v>1777801129.0011001</v>
          </cell>
          <cell r="M191">
            <v>118885079.99993999</v>
          </cell>
          <cell r="R191">
            <v>501843199.18981892</v>
          </cell>
          <cell r="S191">
            <v>4989205961.1575003</v>
          </cell>
          <cell r="T191">
            <v>14925055118.092543</v>
          </cell>
          <cell r="U191">
            <v>11773964328.185713</v>
          </cell>
          <cell r="V191">
            <v>2406949681.914402</v>
          </cell>
          <cell r="W191">
            <v>744141107.9924283</v>
          </cell>
          <cell r="X191">
            <v>5578197621.8602257</v>
          </cell>
          <cell r="AK191">
            <v>5578197621.8602257</v>
          </cell>
          <cell r="AX191">
            <v>5578197621.8602257</v>
          </cell>
          <cell r="BK191">
            <v>5578197621.8602257</v>
          </cell>
          <cell r="CB191">
            <v>0</v>
          </cell>
        </row>
        <row r="192">
          <cell r="H192">
            <v>0</v>
          </cell>
          <cell r="I192">
            <v>0</v>
          </cell>
          <cell r="J192">
            <v>0</v>
          </cell>
          <cell r="K192">
            <v>0</v>
          </cell>
          <cell r="L192">
            <v>3144524126.0840998</v>
          </cell>
          <cell r="M192">
            <v>1329675800.0000999</v>
          </cell>
          <cell r="R192">
            <v>478036314.94987941</v>
          </cell>
          <cell r="S192">
            <v>3430288722.6366997</v>
          </cell>
          <cell r="T192">
            <v>19900494377.89838</v>
          </cell>
          <cell r="U192">
            <v>12080162505.042244</v>
          </cell>
          <cell r="V192">
            <v>7325651288.8627653</v>
          </cell>
          <cell r="W192">
            <v>494680583.99336922</v>
          </cell>
          <cell r="X192">
            <v>7070754835.3922901</v>
          </cell>
          <cell r="AK192">
            <v>7070754835.3922901</v>
          </cell>
          <cell r="AX192">
            <v>7070754835.3922901</v>
          </cell>
          <cell r="BK192">
            <v>7070754835.3922901</v>
          </cell>
          <cell r="CB192">
            <v>0</v>
          </cell>
        </row>
        <row r="193">
          <cell r="H193">
            <v>0</v>
          </cell>
          <cell r="I193">
            <v>0</v>
          </cell>
          <cell r="J193">
            <v>0</v>
          </cell>
          <cell r="K193">
            <v>0</v>
          </cell>
          <cell r="L193">
            <v>1652942186.2421</v>
          </cell>
          <cell r="M193">
            <v>137837556.00011</v>
          </cell>
          <cell r="R193">
            <v>480867087.1097703</v>
          </cell>
          <cell r="S193">
            <v>3155964551.4783001</v>
          </cell>
          <cell r="T193">
            <v>11323842245.078587</v>
          </cell>
          <cell r="U193">
            <v>9670405160.4494877</v>
          </cell>
          <cell r="V193">
            <v>749556692.63825512</v>
          </cell>
          <cell r="W193">
            <v>903880391.99084389</v>
          </cell>
          <cell r="X193">
            <v>4187863406.4772172</v>
          </cell>
          <cell r="AK193">
            <v>4187863406.4772172</v>
          </cell>
          <cell r="AX193">
            <v>4187863406.4772172</v>
          </cell>
          <cell r="BK193">
            <v>4187863406.4772172</v>
          </cell>
          <cell r="CB193">
            <v>0</v>
          </cell>
        </row>
        <row r="194">
          <cell r="H194">
            <v>0</v>
          </cell>
          <cell r="I194">
            <v>0</v>
          </cell>
          <cell r="J194">
            <v>0</v>
          </cell>
          <cell r="K194">
            <v>0</v>
          </cell>
          <cell r="L194">
            <v>1387585073.5216999</v>
          </cell>
          <cell r="M194">
            <v>60654480.000086002</v>
          </cell>
          <cell r="R194">
            <v>320575911.59115481</v>
          </cell>
          <cell r="S194">
            <v>2693180907.6789999</v>
          </cell>
          <cell r="T194">
            <v>9423562245.5691471</v>
          </cell>
          <cell r="U194">
            <v>7935042187.1749907</v>
          </cell>
          <cell r="V194">
            <v>1313739470.396065</v>
          </cell>
          <cell r="W194">
            <v>174780587.99809113</v>
          </cell>
          <cell r="X194">
            <v>3471389654.5902719</v>
          </cell>
          <cell r="AK194">
            <v>3471389654.5902719</v>
          </cell>
          <cell r="AX194">
            <v>3471389654.5902719</v>
          </cell>
          <cell r="BK194">
            <v>3471389654.5902719</v>
          </cell>
          <cell r="CB194">
            <v>0</v>
          </cell>
        </row>
        <row r="195">
          <cell r="H195">
            <v>0</v>
          </cell>
          <cell r="I195">
            <v>0</v>
          </cell>
          <cell r="J195">
            <v>0</v>
          </cell>
          <cell r="K195">
            <v>0</v>
          </cell>
          <cell r="L195">
            <v>1638923182.4419</v>
          </cell>
          <cell r="M195">
            <v>265361111.99991</v>
          </cell>
          <cell r="R195">
            <v>458222924.87021101</v>
          </cell>
          <cell r="S195">
            <v>1127265051.8400002</v>
          </cell>
          <cell r="T195">
            <v>6412049166.6624269</v>
          </cell>
          <cell r="U195">
            <v>5252647142.4289255</v>
          </cell>
          <cell r="V195">
            <v>1096598520.2358916</v>
          </cell>
          <cell r="W195">
            <v>62803503.997610003</v>
          </cell>
          <cell r="X195">
            <v>2475455359.4536123</v>
          </cell>
          <cell r="AK195">
            <v>2475455359.4536123</v>
          </cell>
          <cell r="AX195">
            <v>2475455359.4536123</v>
          </cell>
          <cell r="BK195">
            <v>2475455359.4536123</v>
          </cell>
          <cell r="CB195">
            <v>0</v>
          </cell>
        </row>
        <row r="196">
          <cell r="H196">
            <v>0</v>
          </cell>
          <cell r="I196">
            <v>0</v>
          </cell>
          <cell r="J196">
            <v>0</v>
          </cell>
          <cell r="K196">
            <v>0</v>
          </cell>
          <cell r="L196">
            <v>1516973561.9586999</v>
          </cell>
          <cell r="M196">
            <v>78029099.999910995</v>
          </cell>
          <cell r="R196">
            <v>195482263.19172159</v>
          </cell>
          <cell r="S196">
            <v>2724120094.3041</v>
          </cell>
          <cell r="T196">
            <v>3970634328.8144631</v>
          </cell>
          <cell r="U196">
            <v>3614660642.0884466</v>
          </cell>
          <cell r="V196">
            <v>250454791.41091761</v>
          </cell>
          <cell r="W196">
            <v>105518895.31509857</v>
          </cell>
          <cell r="X196">
            <v>2121309837.0672238</v>
          </cell>
          <cell r="AK196">
            <v>2121309837.0672238</v>
          </cell>
          <cell r="AX196">
            <v>2121309837.0672238</v>
          </cell>
          <cell r="BK196">
            <v>2121309837.0672238</v>
          </cell>
          <cell r="CB196">
            <v>0</v>
          </cell>
        </row>
        <row r="197">
          <cell r="H197">
            <v>0</v>
          </cell>
          <cell r="I197">
            <v>0</v>
          </cell>
          <cell r="J197">
            <v>0</v>
          </cell>
          <cell r="K197">
            <v>0</v>
          </cell>
          <cell r="L197">
            <v>1241875245.3613</v>
          </cell>
          <cell r="M197">
            <v>486641707.99994999</v>
          </cell>
          <cell r="R197">
            <v>448158375.8301757</v>
          </cell>
          <cell r="S197">
            <v>2842470450.9597001</v>
          </cell>
          <cell r="T197">
            <v>11699554931.659061</v>
          </cell>
          <cell r="U197">
            <v>9069268437.986887</v>
          </cell>
          <cell r="V197">
            <v>2287530061.6757698</v>
          </cell>
          <cell r="W197">
            <v>342756431.99640518</v>
          </cell>
          <cell r="X197">
            <v>4179675177.9525466</v>
          </cell>
          <cell r="AK197">
            <v>4179675177.9525466</v>
          </cell>
          <cell r="AX197">
            <v>4179675177.9525466</v>
          </cell>
          <cell r="BK197">
            <v>4179675177.9525466</v>
          </cell>
          <cell r="CB197">
            <v>0</v>
          </cell>
        </row>
        <row r="198">
          <cell r="H198">
            <v>0</v>
          </cell>
          <cell r="I198">
            <v>0</v>
          </cell>
          <cell r="J198">
            <v>0</v>
          </cell>
          <cell r="K198">
            <v>0</v>
          </cell>
          <cell r="L198">
            <v>1137861675.2419</v>
          </cell>
          <cell r="M198">
            <v>163510416.00007999</v>
          </cell>
          <cell r="R198">
            <v>355267161.11058587</v>
          </cell>
          <cell r="S198">
            <v>1331817014.8385</v>
          </cell>
          <cell r="T198">
            <v>7705188052.641263</v>
          </cell>
          <cell r="U198">
            <v>6210428114.2481298</v>
          </cell>
          <cell r="V198">
            <v>1079858942.3971851</v>
          </cell>
          <cell r="W198">
            <v>414900995.99594784</v>
          </cell>
          <cell r="X198">
            <v>2673411079.9580822</v>
          </cell>
          <cell r="AK198">
            <v>2673411079.9580822</v>
          </cell>
          <cell r="AX198">
            <v>2673411079.9580822</v>
          </cell>
          <cell r="BK198">
            <v>2673411079.9580822</v>
          </cell>
          <cell r="CB198">
            <v>0</v>
          </cell>
        </row>
        <row r="199">
          <cell r="H199">
            <v>0</v>
          </cell>
          <cell r="I199">
            <v>0</v>
          </cell>
          <cell r="J199">
            <v>0</v>
          </cell>
          <cell r="K199">
            <v>0</v>
          </cell>
          <cell r="L199">
            <v>1169246824.8413</v>
          </cell>
          <cell r="M199">
            <v>323648848.99993998</v>
          </cell>
          <cell r="R199">
            <v>260643682.31127307</v>
          </cell>
          <cell r="S199">
            <v>2456466737.7593999</v>
          </cell>
          <cell r="T199">
            <v>7786381713.9959183</v>
          </cell>
          <cell r="U199">
            <v>6826126628.5586739</v>
          </cell>
          <cell r="V199">
            <v>960255085.43724489</v>
          </cell>
          <cell r="W199">
            <v>0</v>
          </cell>
          <cell r="X199">
            <v>2999096951.9769578</v>
          </cell>
          <cell r="AK199">
            <v>2999096951.9769578</v>
          </cell>
          <cell r="AX199">
            <v>2999096951.9769578</v>
          </cell>
          <cell r="BK199">
            <v>2999096951.9769578</v>
          </cell>
          <cell r="CB199">
            <v>0</v>
          </cell>
        </row>
        <row r="200">
          <cell r="H200">
            <v>0</v>
          </cell>
          <cell r="I200">
            <v>0</v>
          </cell>
          <cell r="J200">
            <v>0</v>
          </cell>
          <cell r="K200">
            <v>0</v>
          </cell>
          <cell r="L200">
            <v>931043127.12161005</v>
          </cell>
          <cell r="M200">
            <v>118348992.00008</v>
          </cell>
          <cell r="R200">
            <v>208948603.9117713</v>
          </cell>
          <cell r="S200">
            <v>581971076.63959002</v>
          </cell>
          <cell r="T200">
            <v>4251780180.2857852</v>
          </cell>
          <cell r="U200">
            <v>3908983067.8062577</v>
          </cell>
          <cell r="V200">
            <v>342797112.47952735</v>
          </cell>
          <cell r="W200">
            <v>0</v>
          </cell>
          <cell r="X200">
            <v>1523022994.9897091</v>
          </cell>
          <cell r="AK200">
            <v>1523022994.9897091</v>
          </cell>
          <cell r="AX200">
            <v>1523022994.9897091</v>
          </cell>
          <cell r="BK200">
            <v>1523022994.9897091</v>
          </cell>
          <cell r="CB200">
            <v>0</v>
          </cell>
        </row>
        <row r="201">
          <cell r="H201">
            <v>0</v>
          </cell>
          <cell r="I201">
            <v>0</v>
          </cell>
          <cell r="J201">
            <v>0</v>
          </cell>
          <cell r="K201">
            <v>0</v>
          </cell>
          <cell r="L201">
            <v>1202335329.1617999</v>
          </cell>
          <cell r="M201">
            <v>197329811.99992999</v>
          </cell>
          <cell r="R201">
            <v>322035264.75082594</v>
          </cell>
          <cell r="S201">
            <v>1035244583.5197999</v>
          </cell>
          <cell r="T201">
            <v>5025771837.5605478</v>
          </cell>
          <cell r="U201">
            <v>4124536468.0427947</v>
          </cell>
          <cell r="V201">
            <v>771516293.51911962</v>
          </cell>
          <cell r="W201">
            <v>129719075.99863368</v>
          </cell>
          <cell r="X201">
            <v>1945679206.7482259</v>
          </cell>
          <cell r="AK201">
            <v>1945679206.7482259</v>
          </cell>
          <cell r="AX201">
            <v>1945679206.7482259</v>
          </cell>
          <cell r="BK201">
            <v>1945679206.7482259</v>
          </cell>
          <cell r="CB201">
            <v>0</v>
          </cell>
        </row>
        <row r="202">
          <cell r="H202">
            <v>0</v>
          </cell>
          <cell r="I202">
            <v>0</v>
          </cell>
          <cell r="J202">
            <v>0</v>
          </cell>
          <cell r="K202">
            <v>0</v>
          </cell>
          <cell r="L202">
            <v>1185373880.7618001</v>
          </cell>
          <cell r="M202">
            <v>144327637.00001001</v>
          </cell>
          <cell r="R202">
            <v>384542047.23063707</v>
          </cell>
          <cell r="S202">
            <v>2249293534.3188</v>
          </cell>
          <cell r="T202">
            <v>8237190809.4846458</v>
          </cell>
          <cell r="U202">
            <v>6449027775.8117924</v>
          </cell>
          <cell r="V202">
            <v>1344988177.677201</v>
          </cell>
          <cell r="W202">
            <v>443174855.99565262</v>
          </cell>
          <cell r="X202">
            <v>3050181977.1989732</v>
          </cell>
          <cell r="AK202">
            <v>3050181977.1989732</v>
          </cell>
          <cell r="AX202">
            <v>3050181977.1989732</v>
          </cell>
          <cell r="BK202">
            <v>3050181977.1989732</v>
          </cell>
          <cell r="CB202">
            <v>0</v>
          </cell>
        </row>
        <row r="203">
          <cell r="H203">
            <v>0</v>
          </cell>
          <cell r="I203">
            <v>0</v>
          </cell>
          <cell r="J203">
            <v>0</v>
          </cell>
          <cell r="K203">
            <v>0</v>
          </cell>
          <cell r="L203">
            <v>2031202090.0816</v>
          </cell>
          <cell r="M203">
            <v>164829960.00009999</v>
          </cell>
          <cell r="R203">
            <v>277190409.91118032</v>
          </cell>
          <cell r="S203">
            <v>2376447769.9194002</v>
          </cell>
          <cell r="T203">
            <v>13438911937.757839</v>
          </cell>
          <cell r="U203">
            <v>11325047596.16494</v>
          </cell>
          <cell r="V203">
            <v>1938164541.5946302</v>
          </cell>
          <cell r="W203">
            <v>175699799.99826875</v>
          </cell>
          <cell r="X203">
            <v>4572145541.9175291</v>
          </cell>
          <cell r="AK203">
            <v>4572145541.9175291</v>
          </cell>
          <cell r="AX203">
            <v>4572145541.9175291</v>
          </cell>
          <cell r="BK203">
            <v>4572145541.9175291</v>
          </cell>
          <cell r="CB203">
            <v>0</v>
          </cell>
        </row>
        <row r="204">
          <cell r="H204">
            <v>0</v>
          </cell>
          <cell r="I204">
            <v>0</v>
          </cell>
          <cell r="J204">
            <v>0</v>
          </cell>
          <cell r="K204">
            <v>0</v>
          </cell>
          <cell r="L204">
            <v>1460125231.2816</v>
          </cell>
          <cell r="M204">
            <v>154727928</v>
          </cell>
          <cell r="R204">
            <v>224692656.71151429</v>
          </cell>
          <cell r="S204">
            <v>1814075133.5783</v>
          </cell>
          <cell r="T204">
            <v>5237770725.3280544</v>
          </cell>
          <cell r="U204">
            <v>3849941386.8362765</v>
          </cell>
          <cell r="V204">
            <v>1387829338.4917784</v>
          </cell>
          <cell r="W204">
            <v>0</v>
          </cell>
          <cell r="X204">
            <v>2222847918.7248673</v>
          </cell>
          <cell r="AK204">
            <v>2222847918.7248673</v>
          </cell>
          <cell r="AX204">
            <v>2222847918.7248673</v>
          </cell>
          <cell r="BK204">
            <v>2222847918.7248673</v>
          </cell>
          <cell r="CB204">
            <v>0</v>
          </cell>
        </row>
        <row r="205">
          <cell r="H205">
            <v>0</v>
          </cell>
          <cell r="I205">
            <v>0</v>
          </cell>
          <cell r="J205">
            <v>0</v>
          </cell>
          <cell r="K205">
            <v>0</v>
          </cell>
          <cell r="L205">
            <v>1425729047.7616999</v>
          </cell>
          <cell r="M205">
            <v>328969735.99994999</v>
          </cell>
          <cell r="R205">
            <v>241901048.711604</v>
          </cell>
          <cell r="S205">
            <v>3848121561.5984998</v>
          </cell>
          <cell r="T205">
            <v>8202117402.225729</v>
          </cell>
          <cell r="U205">
            <v>6620511398.1489954</v>
          </cell>
          <cell r="V205">
            <v>1581606004.0767331</v>
          </cell>
          <cell r="W205">
            <v>0</v>
          </cell>
          <cell r="X205">
            <v>3511709699.0743704</v>
          </cell>
          <cell r="AK205">
            <v>3511709699.0743704</v>
          </cell>
          <cell r="AX205">
            <v>3511709699.0743704</v>
          </cell>
          <cell r="BK205">
            <v>3511709699.0743704</v>
          </cell>
          <cell r="CB205">
            <v>0</v>
          </cell>
        </row>
        <row r="206">
          <cell r="H206">
            <v>0</v>
          </cell>
          <cell r="I206">
            <v>0</v>
          </cell>
          <cell r="J206">
            <v>0</v>
          </cell>
          <cell r="K206">
            <v>0</v>
          </cell>
          <cell r="L206">
            <v>1188285964.5608001</v>
          </cell>
          <cell r="M206">
            <v>612582503.99995995</v>
          </cell>
          <cell r="R206">
            <v>412829360.15056026</v>
          </cell>
          <cell r="S206">
            <v>3793353701.1992002</v>
          </cell>
          <cell r="T206">
            <v>7622715828.8759804</v>
          </cell>
          <cell r="U206">
            <v>5501744593.1266088</v>
          </cell>
          <cell r="V206">
            <v>1388494391.7566674</v>
          </cell>
          <cell r="W206">
            <v>732476843.99270427</v>
          </cell>
          <cell r="X206">
            <v>3407441839.6966252</v>
          </cell>
          <cell r="AK206">
            <v>3407441839.6966252</v>
          </cell>
          <cell r="AX206">
            <v>3407441839.6966252</v>
          </cell>
          <cell r="BK206">
            <v>3407441839.6966252</v>
          </cell>
          <cell r="CB206">
            <v>0</v>
          </cell>
        </row>
        <row r="207">
          <cell r="H207">
            <v>0</v>
          </cell>
          <cell r="I207">
            <v>0</v>
          </cell>
          <cell r="J207">
            <v>0</v>
          </cell>
          <cell r="K207">
            <v>0</v>
          </cell>
          <cell r="L207">
            <v>2362945286.6457</v>
          </cell>
          <cell r="M207">
            <v>72290651.999969006</v>
          </cell>
          <cell r="R207">
            <v>181652173.91184554</v>
          </cell>
          <cell r="S207">
            <v>1026709787.0098</v>
          </cell>
          <cell r="T207">
            <v>5384224542.4572449</v>
          </cell>
          <cell r="U207">
            <v>4505746505.9256449</v>
          </cell>
          <cell r="V207">
            <v>705421524.88978565</v>
          </cell>
          <cell r="W207">
            <v>173056511.6418139</v>
          </cell>
          <cell r="X207">
            <v>2256955610.5061398</v>
          </cell>
          <cell r="AK207">
            <v>2256955610.5061398</v>
          </cell>
          <cell r="AX207">
            <v>2256955610.5061398</v>
          </cell>
          <cell r="BK207">
            <v>2256955610.5061398</v>
          </cell>
          <cell r="CB207">
            <v>0</v>
          </cell>
        </row>
        <row r="208">
          <cell r="H208">
            <v>0</v>
          </cell>
          <cell r="I208">
            <v>0</v>
          </cell>
          <cell r="J208">
            <v>0</v>
          </cell>
          <cell r="K208">
            <v>0</v>
          </cell>
          <cell r="L208">
            <v>1306502338.8011</v>
          </cell>
          <cell r="M208">
            <v>110469827.99992999</v>
          </cell>
          <cell r="R208">
            <v>194465081.99191931</v>
          </cell>
          <cell r="S208">
            <v>1311502048.0796001</v>
          </cell>
          <cell r="T208">
            <v>6706646354.7787027</v>
          </cell>
          <cell r="U208">
            <v>5419488835.5818291</v>
          </cell>
          <cell r="V208">
            <v>1283360803.1968374</v>
          </cell>
          <cell r="W208">
            <v>3796716.0000362312</v>
          </cell>
          <cell r="X208">
            <v>2407396412.9128132</v>
          </cell>
          <cell r="AK208">
            <v>2407396412.9128132</v>
          </cell>
          <cell r="AX208">
            <v>2407396412.9128132</v>
          </cell>
          <cell r="BK208">
            <v>2407396412.9128132</v>
          </cell>
          <cell r="CB208">
            <v>0</v>
          </cell>
        </row>
        <row r="209">
          <cell r="H209">
            <v>0</v>
          </cell>
          <cell r="I209">
            <v>0</v>
          </cell>
          <cell r="J209">
            <v>0</v>
          </cell>
          <cell r="K209">
            <v>0</v>
          </cell>
          <cell r="L209">
            <v>1374724641.6412001</v>
          </cell>
          <cell r="M209">
            <v>84615104.000018999</v>
          </cell>
          <cell r="R209">
            <v>384777797.03054947</v>
          </cell>
          <cell r="S209">
            <v>1668204662.8798001</v>
          </cell>
          <cell r="T209">
            <v>12443362899.002163</v>
          </cell>
          <cell r="U209">
            <v>10251726446.053419</v>
          </cell>
          <cell r="V209">
            <v>1414523916.9565766</v>
          </cell>
          <cell r="W209">
            <v>777112535.99216604</v>
          </cell>
          <cell r="X209">
            <v>3988921276.138433</v>
          </cell>
          <cell r="AK209">
            <v>3988921276.138433</v>
          </cell>
          <cell r="AX209">
            <v>3988921276.138433</v>
          </cell>
          <cell r="BK209">
            <v>3988921276.138433</v>
          </cell>
          <cell r="CB209">
            <v>0</v>
          </cell>
        </row>
        <row r="210">
          <cell r="H210">
            <v>0</v>
          </cell>
          <cell r="I210">
            <v>0</v>
          </cell>
          <cell r="J210">
            <v>0</v>
          </cell>
          <cell r="K210">
            <v>0</v>
          </cell>
          <cell r="L210">
            <v>1246392030.6417</v>
          </cell>
          <cell r="M210">
            <v>74114520.000069007</v>
          </cell>
          <cell r="R210">
            <v>181652173.91184554</v>
          </cell>
          <cell r="S210">
            <v>1941784081.7553</v>
          </cell>
          <cell r="T210">
            <v>4042351160.1771326</v>
          </cell>
          <cell r="U210">
            <v>3540927591.2244534</v>
          </cell>
          <cell r="V210">
            <v>418411540.95366573</v>
          </cell>
          <cell r="W210">
            <v>83012027.999013558</v>
          </cell>
          <cell r="X210">
            <v>1871573491.6215119</v>
          </cell>
          <cell r="AK210">
            <v>1871573491.6215119</v>
          </cell>
          <cell r="AX210">
            <v>1871573491.6215119</v>
          </cell>
          <cell r="BK210">
            <v>1871573491.6215119</v>
          </cell>
          <cell r="CB210">
            <v>0</v>
          </cell>
        </row>
        <row r="211">
          <cell r="H211">
            <v>0</v>
          </cell>
          <cell r="I211">
            <v>0</v>
          </cell>
          <cell r="J211">
            <v>0</v>
          </cell>
          <cell r="K211">
            <v>0</v>
          </cell>
          <cell r="L211">
            <v>1165309915.4417</v>
          </cell>
          <cell r="M211">
            <v>123054179.99996001</v>
          </cell>
          <cell r="R211">
            <v>305470814.87123352</v>
          </cell>
          <cell r="S211">
            <v>1198615844.1605999</v>
          </cell>
          <cell r="T211">
            <v>8832372131.4288025</v>
          </cell>
          <cell r="U211">
            <v>7680531530.5533743</v>
          </cell>
          <cell r="V211">
            <v>838282940.87853563</v>
          </cell>
          <cell r="W211">
            <v>313557659.99689364</v>
          </cell>
          <cell r="X211">
            <v>2906205721.4755745</v>
          </cell>
          <cell r="AK211">
            <v>2906205721.4755745</v>
          </cell>
          <cell r="AX211">
            <v>2906205721.4755745</v>
          </cell>
          <cell r="BK211">
            <v>2906205721.4755745</v>
          </cell>
          <cell r="CB211">
            <v>0</v>
          </cell>
        </row>
        <row r="212">
          <cell r="H212">
            <v>0</v>
          </cell>
          <cell r="I212">
            <v>0</v>
          </cell>
          <cell r="J212">
            <v>0</v>
          </cell>
          <cell r="K212">
            <v>0</v>
          </cell>
          <cell r="L212">
            <v>1240733745.3612001</v>
          </cell>
          <cell r="M212">
            <v>124398995.99997</v>
          </cell>
          <cell r="R212">
            <v>289319078.15125233</v>
          </cell>
          <cell r="S212">
            <v>1394432803.6784999</v>
          </cell>
          <cell r="T212">
            <v>5809316965.8981256</v>
          </cell>
          <cell r="U212">
            <v>4795032561.8218918</v>
          </cell>
          <cell r="V212">
            <v>852826180.0779146</v>
          </cell>
          <cell r="W212">
            <v>161458223.99831921</v>
          </cell>
          <cell r="X212">
            <v>2214550397.2722621</v>
          </cell>
          <cell r="AK212">
            <v>2214550397.2722621</v>
          </cell>
          <cell r="AX212">
            <v>2214550397.2722621</v>
          </cell>
          <cell r="BK212">
            <v>2214550397.2722621</v>
          </cell>
          <cell r="CB212">
            <v>0</v>
          </cell>
        </row>
        <row r="213">
          <cell r="H213">
            <v>0</v>
          </cell>
          <cell r="I213">
            <v>0</v>
          </cell>
          <cell r="J213">
            <v>0</v>
          </cell>
          <cell r="K213">
            <v>0</v>
          </cell>
          <cell r="L213">
            <v>655916737.40029001</v>
          </cell>
          <cell r="M213">
            <v>99053303.999961004</v>
          </cell>
          <cell r="R213">
            <v>320324929.67087448</v>
          </cell>
          <cell r="S213">
            <v>1985035690.7183001</v>
          </cell>
          <cell r="T213">
            <v>2471647624.5054593</v>
          </cell>
          <cell r="U213">
            <v>2208224259.5459495</v>
          </cell>
          <cell r="V213">
            <v>263423364.95950988</v>
          </cell>
          <cell r="W213">
            <v>0</v>
          </cell>
          <cell r="X213">
            <v>1382994571.5737212</v>
          </cell>
          <cell r="AK213">
            <v>1382994571.5737212</v>
          </cell>
          <cell r="AX213">
            <v>1382994571.5737212</v>
          </cell>
          <cell r="BK213">
            <v>1382994571.5737212</v>
          </cell>
          <cell r="CB213">
            <v>0</v>
          </cell>
        </row>
        <row r="214">
          <cell r="H214">
            <v>0</v>
          </cell>
          <cell r="I214">
            <v>0</v>
          </cell>
          <cell r="J214">
            <v>0</v>
          </cell>
          <cell r="K214">
            <v>0</v>
          </cell>
          <cell r="L214">
            <v>795231949.56150997</v>
          </cell>
          <cell r="M214">
            <v>146809391.99998</v>
          </cell>
          <cell r="R214">
            <v>275857441.43131769</v>
          </cell>
          <cell r="S214">
            <v>2048898430.3201001</v>
          </cell>
          <cell r="T214">
            <v>7572387210.6852732</v>
          </cell>
          <cell r="U214">
            <v>6655977862.2882996</v>
          </cell>
          <cell r="V214">
            <v>916409348.39697337</v>
          </cell>
          <cell r="W214">
            <v>0</v>
          </cell>
          <cell r="X214">
            <v>2709796105.9995451</v>
          </cell>
          <cell r="AK214">
            <v>2709796105.9995451</v>
          </cell>
          <cell r="AX214">
            <v>2709796105.9995451</v>
          </cell>
          <cell r="BK214">
            <v>2709796105.9995451</v>
          </cell>
          <cell r="CB214">
            <v>0</v>
          </cell>
        </row>
        <row r="215">
          <cell r="H215">
            <v>0</v>
          </cell>
          <cell r="I215">
            <v>0</v>
          </cell>
          <cell r="J215">
            <v>0</v>
          </cell>
          <cell r="K215">
            <v>0</v>
          </cell>
          <cell r="L215">
            <v>1011727143.3209</v>
          </cell>
          <cell r="M215">
            <v>118646015.99996001</v>
          </cell>
          <cell r="R215">
            <v>328685782.07096231</v>
          </cell>
          <cell r="S215">
            <v>1037952441.1195</v>
          </cell>
          <cell r="T215">
            <v>9906322659.0611725</v>
          </cell>
          <cell r="U215">
            <v>8454631830.1886902</v>
          </cell>
          <cell r="V215">
            <v>950876120.87745154</v>
          </cell>
          <cell r="W215">
            <v>500814707.99503231</v>
          </cell>
          <cell r="X215">
            <v>3100833510.3931236</v>
          </cell>
          <cell r="AK215">
            <v>3100833510.3931236</v>
          </cell>
          <cell r="AX215">
            <v>3100833510.3931236</v>
          </cell>
          <cell r="BK215">
            <v>3100833510.3931236</v>
          </cell>
          <cell r="CB215">
            <v>0</v>
          </cell>
        </row>
        <row r="216">
          <cell r="H216">
            <v>0</v>
          </cell>
          <cell r="I216">
            <v>0</v>
          </cell>
          <cell r="J216">
            <v>0</v>
          </cell>
          <cell r="K216">
            <v>0</v>
          </cell>
          <cell r="L216">
            <v>1038889015.4403</v>
          </cell>
          <cell r="M216">
            <v>154131600.00002</v>
          </cell>
          <cell r="R216">
            <v>303749844.71111053</v>
          </cell>
          <cell r="S216">
            <v>2105457949.1575999</v>
          </cell>
          <cell r="T216">
            <v>6177729300.0205936</v>
          </cell>
          <cell r="U216">
            <v>5247976255.9418268</v>
          </cell>
          <cell r="V216">
            <v>929753044.07876706</v>
          </cell>
          <cell r="W216">
            <v>0</v>
          </cell>
          <cell r="X216">
            <v>2444989427.332406</v>
          </cell>
          <cell r="AK216">
            <v>2444989427.332406</v>
          </cell>
          <cell r="AX216">
            <v>2444989427.332406</v>
          </cell>
          <cell r="BK216">
            <v>2444989427.332406</v>
          </cell>
          <cell r="CB216">
            <v>0</v>
          </cell>
        </row>
        <row r="217">
          <cell r="H217">
            <v>0</v>
          </cell>
          <cell r="I217">
            <v>0</v>
          </cell>
          <cell r="J217">
            <v>0</v>
          </cell>
          <cell r="K217">
            <v>0</v>
          </cell>
          <cell r="L217">
            <v>1118928819.7209001</v>
          </cell>
          <cell r="M217">
            <v>137889383.99991</v>
          </cell>
          <cell r="R217">
            <v>335144249.9910022</v>
          </cell>
          <cell r="S217">
            <v>2464116589.6785998</v>
          </cell>
          <cell r="T217">
            <v>3460793458.7760286</v>
          </cell>
          <cell r="U217">
            <v>2421102883.7797694</v>
          </cell>
          <cell r="V217">
            <v>726132914.99936557</v>
          </cell>
          <cell r="W217">
            <v>313557659.99689364</v>
          </cell>
          <cell r="X217">
            <v>1879218125.5416102</v>
          </cell>
          <cell r="AK217">
            <v>1879218125.5416102</v>
          </cell>
          <cell r="AX217">
            <v>1879218125.5416102</v>
          </cell>
          <cell r="BK217">
            <v>1879218125.5416102</v>
          </cell>
          <cell r="CB217">
            <v>0</v>
          </cell>
        </row>
        <row r="218">
          <cell r="H218">
            <v>0</v>
          </cell>
          <cell r="I218">
            <v>0</v>
          </cell>
          <cell r="J218">
            <v>0</v>
          </cell>
          <cell r="K218">
            <v>0</v>
          </cell>
          <cell r="L218">
            <v>653020697.28103995</v>
          </cell>
          <cell r="M218">
            <v>85303470</v>
          </cell>
          <cell r="R218">
            <v>275927067.91107959</v>
          </cell>
          <cell r="S218">
            <v>426636913.56355</v>
          </cell>
          <cell r="T218">
            <v>1065878190.8833127</v>
          </cell>
          <cell r="U218">
            <v>766383465.8354944</v>
          </cell>
          <cell r="V218">
            <v>299494725.0478183</v>
          </cell>
          <cell r="W218">
            <v>0</v>
          </cell>
          <cell r="X218">
            <v>626691584.90974557</v>
          </cell>
          <cell r="AK218">
            <v>626691584.90974557</v>
          </cell>
          <cell r="AX218">
            <v>626691584.90974557</v>
          </cell>
          <cell r="BK218">
            <v>626691584.90974557</v>
          </cell>
          <cell r="CB218">
            <v>0</v>
          </cell>
        </row>
        <row r="219">
          <cell r="H219">
            <v>0</v>
          </cell>
          <cell r="I219">
            <v>0</v>
          </cell>
          <cell r="J219">
            <v>0</v>
          </cell>
          <cell r="K219">
            <v>0</v>
          </cell>
          <cell r="L219">
            <v>1171867510.9207001</v>
          </cell>
          <cell r="M219">
            <v>599999999.99997997</v>
          </cell>
          <cell r="R219">
            <v>445297779.3502385</v>
          </cell>
          <cell r="S219">
            <v>2267369362.7586002</v>
          </cell>
          <cell r="T219">
            <v>5682375378.1620674</v>
          </cell>
          <cell r="U219">
            <v>4311808348.0067415</v>
          </cell>
          <cell r="V219">
            <v>1156582178.1575427</v>
          </cell>
          <cell r="W219">
            <v>213984851.99778408</v>
          </cell>
          <cell r="X219">
            <v>2541727507.7978969</v>
          </cell>
          <cell r="AK219">
            <v>2541727507.7978969</v>
          </cell>
          <cell r="AX219">
            <v>2541727507.7978969</v>
          </cell>
          <cell r="BK219">
            <v>2541727507.7978969</v>
          </cell>
          <cell r="CB219">
            <v>0</v>
          </cell>
        </row>
        <row r="220">
          <cell r="H220">
            <v>0</v>
          </cell>
          <cell r="I220">
            <v>0</v>
          </cell>
          <cell r="J220">
            <v>0</v>
          </cell>
          <cell r="K220">
            <v>0</v>
          </cell>
          <cell r="L220">
            <v>1054619024.2007</v>
          </cell>
          <cell r="M220">
            <v>104608619.99996001</v>
          </cell>
          <cell r="R220">
            <v>313367246.39112425</v>
          </cell>
          <cell r="S220">
            <v>1088475741.3598001</v>
          </cell>
          <cell r="T220">
            <v>6570843027.9263229</v>
          </cell>
          <cell r="U220">
            <v>6118444377.4470463</v>
          </cell>
          <cell r="V220">
            <v>452398650.47927648</v>
          </cell>
          <cell r="W220">
            <v>0</v>
          </cell>
          <cell r="X220">
            <v>2282978414.9694767</v>
          </cell>
          <cell r="AK220">
            <v>2282978414.9694767</v>
          </cell>
          <cell r="AX220">
            <v>2282978414.9694767</v>
          </cell>
          <cell r="BK220">
            <v>2282978414.9694767</v>
          </cell>
          <cell r="CB220">
            <v>0</v>
          </cell>
        </row>
        <row r="221">
          <cell r="H221">
            <v>0</v>
          </cell>
          <cell r="I221">
            <v>0</v>
          </cell>
          <cell r="J221">
            <v>0</v>
          </cell>
          <cell r="K221">
            <v>0</v>
          </cell>
          <cell r="L221">
            <v>1203847550.2021</v>
          </cell>
          <cell r="M221">
            <v>238343512.00009999</v>
          </cell>
          <cell r="R221">
            <v>295970479.5912599</v>
          </cell>
          <cell r="S221">
            <v>1666936707.7593</v>
          </cell>
          <cell r="T221">
            <v>4594942009.0992012</v>
          </cell>
          <cell r="U221">
            <v>3839214762.1400719</v>
          </cell>
          <cell r="V221">
            <v>755727246.95912981</v>
          </cell>
          <cell r="W221">
            <v>0</v>
          </cell>
          <cell r="X221">
            <v>2000010064.6629906</v>
          </cell>
          <cell r="AK221">
            <v>2000010064.6629906</v>
          </cell>
          <cell r="AX221">
            <v>2000010064.6629906</v>
          </cell>
          <cell r="BK221">
            <v>2000010064.6629906</v>
          </cell>
          <cell r="CB221">
            <v>0</v>
          </cell>
        </row>
        <row r="222">
          <cell r="H222">
            <v>0</v>
          </cell>
          <cell r="I222">
            <v>0</v>
          </cell>
          <cell r="J222">
            <v>0</v>
          </cell>
          <cell r="K222">
            <v>0</v>
          </cell>
          <cell r="L222">
            <v>1109193810.961</v>
          </cell>
          <cell r="M222">
            <v>42795648.000028998</v>
          </cell>
          <cell r="R222">
            <v>181652173.91184554</v>
          </cell>
          <cell r="S222">
            <v>1646489378.3866999</v>
          </cell>
          <cell r="T222">
            <v>4741076941.9698811</v>
          </cell>
          <cell r="U222">
            <v>4141751393.110167</v>
          </cell>
          <cell r="V222">
            <v>599325548.85971415</v>
          </cell>
          <cell r="W222">
            <v>0</v>
          </cell>
          <cell r="X222">
            <v>1930301988.307364</v>
          </cell>
          <cell r="AK222">
            <v>1930301988.307364</v>
          </cell>
          <cell r="AX222">
            <v>1930301988.307364</v>
          </cell>
          <cell r="BK222">
            <v>1930301988.307364</v>
          </cell>
          <cell r="CB222">
            <v>0</v>
          </cell>
        </row>
        <row r="223">
          <cell r="H223">
            <v>0</v>
          </cell>
          <cell r="I223">
            <v>0</v>
          </cell>
          <cell r="J223">
            <v>0</v>
          </cell>
          <cell r="K223">
            <v>0</v>
          </cell>
          <cell r="L223">
            <v>993522146.28137004</v>
          </cell>
          <cell r="M223">
            <v>135757439.99992001</v>
          </cell>
          <cell r="R223">
            <v>220146464.15169546</v>
          </cell>
          <cell r="S223">
            <v>868965768.72022998</v>
          </cell>
          <cell r="T223">
            <v>3863481528.8488531</v>
          </cell>
          <cell r="U223">
            <v>3207183741.2505393</v>
          </cell>
          <cell r="V223">
            <v>656297787.59831369</v>
          </cell>
          <cell r="W223">
            <v>0</v>
          </cell>
          <cell r="X223">
            <v>1520468337.0005171</v>
          </cell>
          <cell r="AK223">
            <v>1520468337.0005171</v>
          </cell>
          <cell r="AX223">
            <v>1520468337.0005171</v>
          </cell>
          <cell r="BK223">
            <v>1520468337.0005171</v>
          </cell>
          <cell r="CB223">
            <v>0</v>
          </cell>
        </row>
        <row r="224">
          <cell r="H224">
            <v>0</v>
          </cell>
          <cell r="I224">
            <v>0</v>
          </cell>
          <cell r="J224">
            <v>0</v>
          </cell>
          <cell r="K224">
            <v>0</v>
          </cell>
          <cell r="L224">
            <v>1020736943.2409</v>
          </cell>
          <cell r="M224">
            <v>285829043.99996001</v>
          </cell>
          <cell r="R224">
            <v>279824959.67110276</v>
          </cell>
          <cell r="S224">
            <v>1429667880.4798</v>
          </cell>
          <cell r="T224">
            <v>6992319349.4044561</v>
          </cell>
          <cell r="U224">
            <v>5998915436.368125</v>
          </cell>
          <cell r="V224">
            <v>712305893.03920889</v>
          </cell>
          <cell r="W224">
            <v>281098019.99712235</v>
          </cell>
          <cell r="X224">
            <v>2502094544.1990547</v>
          </cell>
          <cell r="AK224">
            <v>2502094544.1990547</v>
          </cell>
          <cell r="AX224">
            <v>2502094544.1990547</v>
          </cell>
          <cell r="BK224">
            <v>2502094544.1990547</v>
          </cell>
          <cell r="CB224">
            <v>0</v>
          </cell>
        </row>
        <row r="225">
          <cell r="H225">
            <v>0</v>
          </cell>
          <cell r="I225">
            <v>0</v>
          </cell>
          <cell r="J225">
            <v>0</v>
          </cell>
          <cell r="K225">
            <v>0</v>
          </cell>
          <cell r="L225">
            <v>985635622.68136001</v>
          </cell>
          <cell r="M225">
            <v>81406463.999907002</v>
          </cell>
          <cell r="R225">
            <v>217987234.07156131</v>
          </cell>
          <cell r="S225">
            <v>1035789635.9984</v>
          </cell>
          <cell r="T225">
            <v>7485868342.0724602</v>
          </cell>
          <cell r="U225">
            <v>6110337360.9596529</v>
          </cell>
          <cell r="V225">
            <v>892210761.11768699</v>
          </cell>
          <cell r="W225">
            <v>483320219.99511963</v>
          </cell>
          <cell r="X225">
            <v>2451671824.7059221</v>
          </cell>
          <cell r="AK225">
            <v>2451671824.7059221</v>
          </cell>
          <cell r="AX225">
            <v>2451671824.7059221</v>
          </cell>
          <cell r="BK225">
            <v>2451671824.7059221</v>
          </cell>
          <cell r="CB225">
            <v>0</v>
          </cell>
        </row>
        <row r="226">
          <cell r="H226">
            <v>0</v>
          </cell>
          <cell r="I226">
            <v>0</v>
          </cell>
          <cell r="J226">
            <v>0</v>
          </cell>
          <cell r="K226">
            <v>0</v>
          </cell>
          <cell r="L226">
            <v>1929863634.3622</v>
          </cell>
          <cell r="M226">
            <v>218129555.99992001</v>
          </cell>
          <cell r="R226">
            <v>384106204.63045776</v>
          </cell>
          <cell r="S226">
            <v>2164133106.2399998</v>
          </cell>
          <cell r="T226">
            <v>4722740850.8831215</v>
          </cell>
          <cell r="U226">
            <v>3961262211.2846675</v>
          </cell>
          <cell r="V226">
            <v>761478639.598454</v>
          </cell>
          <cell r="W226">
            <v>0</v>
          </cell>
          <cell r="X226">
            <v>2354743338.0289249</v>
          </cell>
          <cell r="AK226">
            <v>2354743338.0289249</v>
          </cell>
          <cell r="AX226">
            <v>2354743338.0289249</v>
          </cell>
          <cell r="BK226">
            <v>2354743338.0289249</v>
          </cell>
          <cell r="CB226">
            <v>0</v>
          </cell>
        </row>
        <row r="227">
          <cell r="H227">
            <v>0</v>
          </cell>
          <cell r="I227">
            <v>0</v>
          </cell>
          <cell r="J227">
            <v>0</v>
          </cell>
          <cell r="K227">
            <v>0</v>
          </cell>
          <cell r="L227">
            <v>1381871738.0416999</v>
          </cell>
          <cell r="M227">
            <v>98982287.999988005</v>
          </cell>
          <cell r="R227">
            <v>360825909.38051808</v>
          </cell>
          <cell r="S227">
            <v>741871486.87738001</v>
          </cell>
          <cell r="T227">
            <v>1296266144.0231664</v>
          </cell>
          <cell r="U227">
            <v>1179344921.5494306</v>
          </cell>
          <cell r="V227">
            <v>116921222.47373572</v>
          </cell>
          <cell r="W227">
            <v>0</v>
          </cell>
          <cell r="X227">
            <v>969954391.58068812</v>
          </cell>
          <cell r="AK227">
            <v>969954391.58068812</v>
          </cell>
          <cell r="AX227">
            <v>969954391.58068812</v>
          </cell>
          <cell r="BK227">
            <v>969954391.58068812</v>
          </cell>
          <cell r="CB227">
            <v>0</v>
          </cell>
        </row>
        <row r="228">
          <cell r="H228">
            <v>0</v>
          </cell>
          <cell r="I228">
            <v>0</v>
          </cell>
          <cell r="J228">
            <v>0</v>
          </cell>
          <cell r="K228">
            <v>0</v>
          </cell>
          <cell r="L228">
            <v>963102581.16114998</v>
          </cell>
          <cell r="M228">
            <v>91072151.999937996</v>
          </cell>
          <cell r="R228">
            <v>364969758.71067476</v>
          </cell>
          <cell r="S228">
            <v>1010732239.4384</v>
          </cell>
          <cell r="T228">
            <v>5890037895.098875</v>
          </cell>
          <cell r="U228">
            <v>4232655637.6665354</v>
          </cell>
          <cell r="V228">
            <v>1083894433.4379683</v>
          </cell>
          <cell r="W228">
            <v>573487823.99437106</v>
          </cell>
          <cell r="X228">
            <v>2079978656.6022594</v>
          </cell>
          <cell r="AK228">
            <v>2079978656.6022594</v>
          </cell>
          <cell r="AX228">
            <v>2079978656.6022594</v>
          </cell>
          <cell r="BK228">
            <v>2079978656.6022594</v>
          </cell>
          <cell r="CB228">
            <v>0</v>
          </cell>
        </row>
        <row r="229">
          <cell r="H229">
            <v>0</v>
          </cell>
          <cell r="I229">
            <v>0</v>
          </cell>
          <cell r="J229">
            <v>0</v>
          </cell>
          <cell r="K229">
            <v>0</v>
          </cell>
          <cell r="L229">
            <v>824406045.52022004</v>
          </cell>
          <cell r="M229">
            <v>355739532.00002998</v>
          </cell>
          <cell r="R229">
            <v>388305304.31064039</v>
          </cell>
          <cell r="S229">
            <v>2093638620.3578</v>
          </cell>
          <cell r="T229">
            <v>6096302368.9768066</v>
          </cell>
          <cell r="U229">
            <v>5301345707.6996384</v>
          </cell>
          <cell r="V229">
            <v>575370677.27922714</v>
          </cell>
          <cell r="W229">
            <v>219585983.99794149</v>
          </cell>
          <cell r="X229">
            <v>2439597967.7913742</v>
          </cell>
          <cell r="AK229">
            <v>2439597967.7913742</v>
          </cell>
          <cell r="AX229">
            <v>2439597967.7913742</v>
          </cell>
          <cell r="BK229">
            <v>2439597967.7913742</v>
          </cell>
          <cell r="CB229">
            <v>0</v>
          </cell>
        </row>
        <row r="230">
          <cell r="H230">
            <v>0</v>
          </cell>
          <cell r="I230">
            <v>0</v>
          </cell>
          <cell r="J230">
            <v>0</v>
          </cell>
          <cell r="K230">
            <v>0</v>
          </cell>
          <cell r="L230">
            <v>1017423827.4809999</v>
          </cell>
          <cell r="M230">
            <v>67736519.999960005</v>
          </cell>
          <cell r="R230">
            <v>313207223.35086954</v>
          </cell>
          <cell r="S230">
            <v>1387177236.4783001</v>
          </cell>
          <cell r="T230">
            <v>8944949224.8950386</v>
          </cell>
          <cell r="U230">
            <v>7997770800.8165131</v>
          </cell>
          <cell r="V230">
            <v>947178424.07852495</v>
          </cell>
          <cell r="W230">
            <v>0</v>
          </cell>
          <cell r="X230">
            <v>2932623508.0512919</v>
          </cell>
          <cell r="AK230">
            <v>2932623508.0512919</v>
          </cell>
          <cell r="AX230">
            <v>2932623508.0512919</v>
          </cell>
          <cell r="BK230">
            <v>2932623508.0512919</v>
          </cell>
          <cell r="CB230">
            <v>0</v>
          </cell>
        </row>
        <row r="231">
          <cell r="H231">
            <v>0</v>
          </cell>
          <cell r="I231">
            <v>0</v>
          </cell>
          <cell r="J231">
            <v>0</v>
          </cell>
          <cell r="K231">
            <v>0</v>
          </cell>
          <cell r="L231">
            <v>1146002942.2811999</v>
          </cell>
          <cell r="M231">
            <v>136557528.00009999</v>
          </cell>
          <cell r="R231">
            <v>353978640.07146907</v>
          </cell>
          <cell r="S231">
            <v>1381822051.8713</v>
          </cell>
          <cell r="T231">
            <v>6582356010.6553802</v>
          </cell>
          <cell r="U231">
            <v>6080059273.1339588</v>
          </cell>
          <cell r="V231">
            <v>502296737.52142149</v>
          </cell>
          <cell r="W231">
            <v>0</v>
          </cell>
          <cell r="X231">
            <v>2400179293.2198625</v>
          </cell>
          <cell r="AK231">
            <v>2400179293.2198625</v>
          </cell>
          <cell r="AX231">
            <v>2400179293.2198625</v>
          </cell>
          <cell r="BK231">
            <v>2400179293.2198625</v>
          </cell>
          <cell r="CB231">
            <v>0</v>
          </cell>
        </row>
        <row r="232">
          <cell r="H232">
            <v>0</v>
          </cell>
          <cell r="I232">
            <v>0</v>
          </cell>
          <cell r="J232">
            <v>0</v>
          </cell>
          <cell r="K232">
            <v>0</v>
          </cell>
          <cell r="L232">
            <v>1062069708.2409</v>
          </cell>
          <cell r="M232">
            <v>247249871.99996001</v>
          </cell>
          <cell r="R232">
            <v>306359029.17137569</v>
          </cell>
          <cell r="S232">
            <v>701496893.01558006</v>
          </cell>
          <cell r="T232">
            <v>2775430475.9379487</v>
          </cell>
          <cell r="U232">
            <v>2408022098.0978603</v>
          </cell>
          <cell r="V232">
            <v>367408377.84008843</v>
          </cell>
          <cell r="W232">
            <v>0</v>
          </cell>
          <cell r="X232">
            <v>1273151494.5914412</v>
          </cell>
          <cell r="AK232">
            <v>1273151494.5914412</v>
          </cell>
          <cell r="AX232">
            <v>1273151494.5914412</v>
          </cell>
          <cell r="BK232">
            <v>1273151494.5914412</v>
          </cell>
          <cell r="CB232">
            <v>0</v>
          </cell>
        </row>
        <row r="233">
          <cell r="H233">
            <v>0</v>
          </cell>
          <cell r="I233">
            <v>0</v>
          </cell>
          <cell r="J233">
            <v>0</v>
          </cell>
          <cell r="K233">
            <v>0</v>
          </cell>
          <cell r="L233">
            <v>1136814668.1608</v>
          </cell>
          <cell r="M233">
            <v>255399047.99996999</v>
          </cell>
          <cell r="R233">
            <v>269243005.91141146</v>
          </cell>
          <cell r="S233">
            <v>1529686386.4786</v>
          </cell>
          <cell r="T233">
            <v>8445969821.079464</v>
          </cell>
          <cell r="U233">
            <v>7088368249.2432127</v>
          </cell>
          <cell r="V233">
            <v>1239323883.8374627</v>
          </cell>
          <cell r="W233">
            <v>118277687.99878857</v>
          </cell>
          <cell r="X233">
            <v>2909278232.4075613</v>
          </cell>
          <cell r="AK233">
            <v>2909278232.4075613</v>
          </cell>
          <cell r="AX233">
            <v>2909278232.4075613</v>
          </cell>
          <cell r="BK233">
            <v>2909278232.4075613</v>
          </cell>
          <cell r="CB233">
            <v>0</v>
          </cell>
        </row>
        <row r="234">
          <cell r="H234">
            <v>0</v>
          </cell>
          <cell r="I234">
            <v>0</v>
          </cell>
          <cell r="J234">
            <v>0</v>
          </cell>
          <cell r="K234">
            <v>0</v>
          </cell>
          <cell r="L234">
            <v>875557538.04149997</v>
          </cell>
          <cell r="M234">
            <v>223263431.99994001</v>
          </cell>
          <cell r="R234">
            <v>374452811.03060722</v>
          </cell>
          <cell r="S234">
            <v>1305937592.4006</v>
          </cell>
          <cell r="T234">
            <v>6524021090.2734423</v>
          </cell>
          <cell r="U234">
            <v>5779456341.2343464</v>
          </cell>
          <cell r="V234">
            <v>744564749.03909624</v>
          </cell>
          <cell r="W234">
            <v>0</v>
          </cell>
          <cell r="X234">
            <v>2325808115.9365225</v>
          </cell>
          <cell r="AK234">
            <v>2325808115.9365225</v>
          </cell>
          <cell r="AX234">
            <v>2325808115.9365225</v>
          </cell>
          <cell r="BK234">
            <v>2325808115.9365225</v>
          </cell>
          <cell r="CB234">
            <v>0</v>
          </cell>
        </row>
        <row r="235">
          <cell r="H235">
            <v>0</v>
          </cell>
          <cell r="I235">
            <v>0</v>
          </cell>
          <cell r="J235">
            <v>0</v>
          </cell>
          <cell r="K235">
            <v>0</v>
          </cell>
          <cell r="L235">
            <v>956442185.04018998</v>
          </cell>
          <cell r="M235">
            <v>311581127.99992001</v>
          </cell>
          <cell r="R235">
            <v>222466770.95144597</v>
          </cell>
          <cell r="S235">
            <v>1287729208.0801001</v>
          </cell>
          <cell r="T235">
            <v>8211991113.1466703</v>
          </cell>
          <cell r="U235">
            <v>6542230532.6704226</v>
          </cell>
          <cell r="V235">
            <v>1561106316.4774466</v>
          </cell>
          <cell r="W235">
            <v>108654263.99880089</v>
          </cell>
          <cell r="X235">
            <v>2747552601.3045816</v>
          </cell>
          <cell r="AK235">
            <v>2747552601.3045816</v>
          </cell>
          <cell r="AX235">
            <v>2747552601.3045816</v>
          </cell>
          <cell r="BK235">
            <v>2747552601.3045816</v>
          </cell>
          <cell r="CB235">
            <v>0</v>
          </cell>
        </row>
        <row r="236">
          <cell r="H236">
            <v>0</v>
          </cell>
          <cell r="I236">
            <v>0</v>
          </cell>
          <cell r="J236">
            <v>0</v>
          </cell>
          <cell r="K236">
            <v>0</v>
          </cell>
          <cell r="L236">
            <v>1042189790.0018001</v>
          </cell>
          <cell r="M236">
            <v>294641271.99994004</v>
          </cell>
          <cell r="R236">
            <v>285746002.07111812</v>
          </cell>
          <cell r="S236">
            <v>1428294441.8389001</v>
          </cell>
          <cell r="T236">
            <v>9707193152.9698238</v>
          </cell>
          <cell r="U236">
            <v>8162825716.6549826</v>
          </cell>
          <cell r="V236">
            <v>1225144828.3179569</v>
          </cell>
          <cell r="W236">
            <v>319222607.99688518</v>
          </cell>
          <cell r="X236">
            <v>3189516164.7203956</v>
          </cell>
          <cell r="AK236">
            <v>3189516164.7203956</v>
          </cell>
          <cell r="AX236">
            <v>3189516164.7203956</v>
          </cell>
          <cell r="BK236">
            <v>3189516164.7203956</v>
          </cell>
          <cell r="CB236">
            <v>0</v>
          </cell>
        </row>
        <row r="237">
          <cell r="H237">
            <v>0</v>
          </cell>
          <cell r="I237">
            <v>0</v>
          </cell>
          <cell r="J237">
            <v>0</v>
          </cell>
          <cell r="K237">
            <v>0</v>
          </cell>
          <cell r="L237">
            <v>1008584304.801</v>
          </cell>
          <cell r="M237">
            <v>107947932.00003999</v>
          </cell>
          <cell r="R237">
            <v>338292963.11094147</v>
          </cell>
          <cell r="S237">
            <v>915878125.68053997</v>
          </cell>
          <cell r="T237">
            <v>5662794493.5174141</v>
          </cell>
          <cell r="U237">
            <v>4775251158.7986612</v>
          </cell>
          <cell r="V237">
            <v>887543334.71875262</v>
          </cell>
          <cell r="W237">
            <v>0</v>
          </cell>
          <cell r="X237">
            <v>2008374454.7774839</v>
          </cell>
          <cell r="AK237">
            <v>2008374454.7774839</v>
          </cell>
          <cell r="AX237">
            <v>2008374454.7774839</v>
          </cell>
          <cell r="BK237">
            <v>2008374454.7774839</v>
          </cell>
          <cell r="CB237">
            <v>0</v>
          </cell>
        </row>
        <row r="238">
          <cell r="H238">
            <v>0</v>
          </cell>
          <cell r="I238">
            <v>0</v>
          </cell>
          <cell r="J238">
            <v>0</v>
          </cell>
          <cell r="K238">
            <v>0</v>
          </cell>
          <cell r="L238">
            <v>1347202646.8817999</v>
          </cell>
          <cell r="M238">
            <v>99756120.000066802</v>
          </cell>
          <cell r="R238">
            <v>318149247.35096681</v>
          </cell>
          <cell r="S238">
            <v>1085741353.1991999</v>
          </cell>
          <cell r="T238">
            <v>8411454375.8189774</v>
          </cell>
          <cell r="U238">
            <v>6765283438.5432062</v>
          </cell>
          <cell r="V238">
            <v>1539184997.2768166</v>
          </cell>
          <cell r="W238">
            <v>106985939.99895512</v>
          </cell>
          <cell r="X238">
            <v>2815575935.8127527</v>
          </cell>
          <cell r="AK238">
            <v>2815575935.8127527</v>
          </cell>
          <cell r="AX238">
            <v>2815575935.8127527</v>
          </cell>
          <cell r="BK238">
            <v>2815575935.8127527</v>
          </cell>
          <cell r="CB238">
            <v>0</v>
          </cell>
        </row>
        <row r="239">
          <cell r="H239">
            <v>0</v>
          </cell>
          <cell r="I239">
            <v>0</v>
          </cell>
          <cell r="J239">
            <v>0</v>
          </cell>
          <cell r="K239">
            <v>0</v>
          </cell>
          <cell r="L239">
            <v>1428427348.0815001</v>
          </cell>
          <cell r="M239">
            <v>73176384.000058994</v>
          </cell>
          <cell r="R239">
            <v>327961767.83108127</v>
          </cell>
          <cell r="S239">
            <v>825141587.75899994</v>
          </cell>
          <cell r="T239">
            <v>3975671113.2356334</v>
          </cell>
          <cell r="U239">
            <v>3309348878.1963139</v>
          </cell>
          <cell r="V239">
            <v>666322235.03931963</v>
          </cell>
          <cell r="W239">
            <v>0</v>
          </cell>
          <cell r="X239">
            <v>1657594550.2268183</v>
          </cell>
          <cell r="AK239">
            <v>1657594550.2268183</v>
          </cell>
          <cell r="AX239">
            <v>1657594550.2268183</v>
          </cell>
          <cell r="BK239">
            <v>1657594550.2268183</v>
          </cell>
          <cell r="CB239">
            <v>0</v>
          </cell>
        </row>
        <row r="240">
          <cell r="H240">
            <v>0</v>
          </cell>
          <cell r="I240">
            <v>0</v>
          </cell>
          <cell r="J240">
            <v>0</v>
          </cell>
          <cell r="K240">
            <v>0</v>
          </cell>
          <cell r="L240">
            <v>656189222.16130996</v>
          </cell>
          <cell r="M240">
            <v>163084463.99992999</v>
          </cell>
          <cell r="R240">
            <v>369942671.75053197</v>
          </cell>
          <cell r="S240">
            <v>1174974657.3599</v>
          </cell>
          <cell r="T240">
            <v>5520900008.234643</v>
          </cell>
          <cell r="U240">
            <v>4127131473.6800561</v>
          </cell>
          <cell r="V240">
            <v>1075169242.5578225</v>
          </cell>
          <cell r="W240">
            <v>318599291.99676389</v>
          </cell>
          <cell r="X240">
            <v>1971272755.8765788</v>
          </cell>
          <cell r="AK240">
            <v>1971272755.8765788</v>
          </cell>
          <cell r="AX240">
            <v>1971272755.8765788</v>
          </cell>
          <cell r="BK240">
            <v>1971272755.8765788</v>
          </cell>
          <cell r="CB240">
            <v>0</v>
          </cell>
        </row>
        <row r="241">
          <cell r="H241">
            <v>0</v>
          </cell>
          <cell r="I241">
            <v>0</v>
          </cell>
          <cell r="J241">
            <v>0</v>
          </cell>
          <cell r="K241">
            <v>0</v>
          </cell>
          <cell r="L241">
            <v>1220881658.4631</v>
          </cell>
          <cell r="M241">
            <v>70459164.000101998</v>
          </cell>
          <cell r="R241">
            <v>181652173.91184554</v>
          </cell>
          <cell r="S241">
            <v>1152883812.8666</v>
          </cell>
          <cell r="T241">
            <v>2227302036.5917034</v>
          </cell>
          <cell r="U241">
            <v>1896507669.9602556</v>
          </cell>
          <cell r="V241">
            <v>244512145.2496261</v>
          </cell>
          <cell r="W241">
            <v>86282221.381821632</v>
          </cell>
          <cell r="X241">
            <v>1213294711.4583378</v>
          </cell>
          <cell r="AK241">
            <v>1213294711.4583378</v>
          </cell>
          <cell r="AX241">
            <v>1213294711.4583378</v>
          </cell>
          <cell r="BK241">
            <v>1213294711.4583378</v>
          </cell>
          <cell r="CB241">
            <v>0</v>
          </cell>
        </row>
        <row r="242">
          <cell r="H242">
            <v>0</v>
          </cell>
          <cell r="I242">
            <v>0</v>
          </cell>
          <cell r="J242">
            <v>0</v>
          </cell>
          <cell r="K242">
            <v>0</v>
          </cell>
          <cell r="L242">
            <v>1190662763.0016999</v>
          </cell>
          <cell r="M242">
            <v>140247384.00007001</v>
          </cell>
          <cell r="R242">
            <v>221112897.83141905</v>
          </cell>
          <cell r="S242">
            <v>1479725002.5604999</v>
          </cell>
          <cell r="T242">
            <v>6608756766.2817011</v>
          </cell>
          <cell r="U242">
            <v>5961165694.6024675</v>
          </cell>
          <cell r="V242">
            <v>647591071.67923355</v>
          </cell>
          <cell r="W242">
            <v>0</v>
          </cell>
          <cell r="X242">
            <v>2410126203.4188476</v>
          </cell>
          <cell r="AK242">
            <v>2410126203.4188476</v>
          </cell>
          <cell r="AX242">
            <v>2410126203.4188476</v>
          </cell>
          <cell r="BK242">
            <v>2410126203.4188476</v>
          </cell>
          <cell r="CB242">
            <v>0</v>
          </cell>
        </row>
        <row r="243">
          <cell r="H243">
            <v>0</v>
          </cell>
          <cell r="I243">
            <v>0</v>
          </cell>
          <cell r="J243">
            <v>0</v>
          </cell>
          <cell r="K243">
            <v>0</v>
          </cell>
          <cell r="L243">
            <v>1219956481.4814</v>
          </cell>
          <cell r="M243">
            <v>77942123.999916002</v>
          </cell>
          <cell r="R243">
            <v>208114079.03150392</v>
          </cell>
          <cell r="S243">
            <v>1691471217.8485999</v>
          </cell>
          <cell r="T243">
            <v>3466932296.9090381</v>
          </cell>
          <cell r="U243">
            <v>2726664723.9593902</v>
          </cell>
          <cell r="V243">
            <v>740267572.94964802</v>
          </cell>
          <cell r="W243">
            <v>0</v>
          </cell>
          <cell r="X243">
            <v>1666104049.8176146</v>
          </cell>
          <cell r="AK243">
            <v>1666104049.8176146</v>
          </cell>
          <cell r="AX243">
            <v>1666104049.8176146</v>
          </cell>
          <cell r="BK243">
            <v>1666104049.8176146</v>
          </cell>
          <cell r="CB243">
            <v>0</v>
          </cell>
        </row>
        <row r="244">
          <cell r="H244">
            <v>0</v>
          </cell>
          <cell r="I244">
            <v>0</v>
          </cell>
          <cell r="J244">
            <v>0</v>
          </cell>
          <cell r="K244">
            <v>0</v>
          </cell>
          <cell r="L244">
            <v>1116275987.0416</v>
          </cell>
          <cell r="M244">
            <v>122660208.00002</v>
          </cell>
          <cell r="R244">
            <v>314295787.91113108</v>
          </cell>
          <cell r="S244">
            <v>1270350850.6788001</v>
          </cell>
          <cell r="T244">
            <v>9763470885.7777824</v>
          </cell>
          <cell r="U244">
            <v>8116973299.8636513</v>
          </cell>
          <cell r="V244">
            <v>1379352061.9166517</v>
          </cell>
          <cell r="W244">
            <v>267145523.99747863</v>
          </cell>
          <cell r="X244">
            <v>3146763429.8523335</v>
          </cell>
          <cell r="AK244">
            <v>3146763429.8523335</v>
          </cell>
          <cell r="AX244">
            <v>3146763429.8523335</v>
          </cell>
          <cell r="BK244">
            <v>3146763429.8523335</v>
          </cell>
          <cell r="CB244">
            <v>0</v>
          </cell>
        </row>
        <row r="245">
          <cell r="H245">
            <v>0</v>
          </cell>
          <cell r="I245">
            <v>0</v>
          </cell>
          <cell r="J245">
            <v>0</v>
          </cell>
          <cell r="K245">
            <v>0</v>
          </cell>
          <cell r="L245">
            <v>808002466.08165002</v>
          </cell>
          <cell r="M245">
            <v>116430948.00007001</v>
          </cell>
          <cell r="R245">
            <v>241451809.1914328</v>
          </cell>
          <cell r="S245">
            <v>1766201452.1192</v>
          </cell>
          <cell r="T245">
            <v>6547783400.5984421</v>
          </cell>
          <cell r="U245">
            <v>3833194845.3260474</v>
          </cell>
          <cell r="V245">
            <v>2494387175.2746797</v>
          </cell>
          <cell r="W245">
            <v>220201379.99771452</v>
          </cell>
          <cell r="X245">
            <v>2369967518.9976988</v>
          </cell>
          <cell r="AK245">
            <v>2369967518.9976988</v>
          </cell>
          <cell r="AX245">
            <v>2369967518.9976988</v>
          </cell>
          <cell r="BK245">
            <v>2369967518.9976988</v>
          </cell>
          <cell r="CB245">
            <v>0</v>
          </cell>
        </row>
        <row r="246">
          <cell r="H246">
            <v>0</v>
          </cell>
          <cell r="I246">
            <v>0</v>
          </cell>
          <cell r="J246">
            <v>0</v>
          </cell>
          <cell r="K246">
            <v>0</v>
          </cell>
          <cell r="L246">
            <v>1331734684.1215</v>
          </cell>
          <cell r="M246">
            <v>688658003.99994004</v>
          </cell>
          <cell r="R246">
            <v>258529622.39150792</v>
          </cell>
          <cell r="S246">
            <v>2101506748.1182001</v>
          </cell>
          <cell r="T246">
            <v>7738853911.7580528</v>
          </cell>
          <cell r="U246">
            <v>5180860854.5646439</v>
          </cell>
          <cell r="V246">
            <v>2401971493.1948152</v>
          </cell>
          <cell r="W246">
            <v>156021563.9985939</v>
          </cell>
          <cell r="X246">
            <v>3029820742.5973005</v>
          </cell>
          <cell r="AK246">
            <v>3029820742.5973005</v>
          </cell>
          <cell r="AX246">
            <v>3029820742.5973005</v>
          </cell>
          <cell r="BK246">
            <v>3029820742.5973005</v>
          </cell>
          <cell r="CB246">
            <v>0</v>
          </cell>
        </row>
        <row r="247">
          <cell r="H247">
            <v>0</v>
          </cell>
          <cell r="I247">
            <v>0</v>
          </cell>
          <cell r="J247">
            <v>0</v>
          </cell>
          <cell r="K247">
            <v>0</v>
          </cell>
          <cell r="L247">
            <v>934797876.96026003</v>
          </cell>
          <cell r="M247">
            <v>85303470</v>
          </cell>
          <cell r="R247">
            <v>181652173.91184554</v>
          </cell>
          <cell r="S247">
            <v>630493631.04067004</v>
          </cell>
          <cell r="T247">
            <v>3314024949.0577807</v>
          </cell>
          <cell r="U247">
            <v>2945562875.2192421</v>
          </cell>
          <cell r="V247">
            <v>368462073.83853877</v>
          </cell>
          <cell r="W247">
            <v>0</v>
          </cell>
          <cell r="X247">
            <v>1286568025.2426393</v>
          </cell>
          <cell r="AK247">
            <v>1286568025.2426393</v>
          </cell>
          <cell r="AX247">
            <v>1286568025.2426393</v>
          </cell>
          <cell r="BK247">
            <v>1286568025.2426393</v>
          </cell>
          <cell r="CB247">
            <v>0</v>
          </cell>
        </row>
        <row r="248">
          <cell r="H248">
            <v>0</v>
          </cell>
          <cell r="I248">
            <v>0</v>
          </cell>
          <cell r="J248">
            <v>0</v>
          </cell>
          <cell r="K248">
            <v>0</v>
          </cell>
          <cell r="L248">
            <v>1174566754.2047999</v>
          </cell>
          <cell r="M248">
            <v>334189476</v>
          </cell>
          <cell r="R248">
            <v>181652173.91184554</v>
          </cell>
          <cell r="S248">
            <v>1483267198.6435001</v>
          </cell>
          <cell r="T248">
            <v>7170494368.6625843</v>
          </cell>
          <cell r="U248">
            <v>5794626379.2589979</v>
          </cell>
          <cell r="V248">
            <v>1252911133.4810233</v>
          </cell>
          <cell r="W248">
            <v>122956855.92256325</v>
          </cell>
          <cell r="X248">
            <v>2586042492.8556824</v>
          </cell>
          <cell r="AK248">
            <v>2586042492.8556824</v>
          </cell>
          <cell r="AX248">
            <v>2586042492.8556824</v>
          </cell>
          <cell r="BK248">
            <v>2586042492.8556824</v>
          </cell>
          <cell r="CB248">
            <v>0</v>
          </cell>
        </row>
        <row r="249">
          <cell r="H249">
            <v>0</v>
          </cell>
          <cell r="I249">
            <v>0</v>
          </cell>
          <cell r="J249">
            <v>0</v>
          </cell>
          <cell r="K249">
            <v>0</v>
          </cell>
          <cell r="L249">
            <v>1149094953.0806</v>
          </cell>
          <cell r="M249">
            <v>164686739.99998999</v>
          </cell>
          <cell r="R249">
            <v>236681141.75142643</v>
          </cell>
          <cell r="S249">
            <v>1427475384.7189</v>
          </cell>
          <cell r="T249">
            <v>3799209949.4004011</v>
          </cell>
          <cell r="U249">
            <v>2752326684.9221077</v>
          </cell>
          <cell r="V249">
            <v>1046883264.4782932</v>
          </cell>
          <cell r="W249">
            <v>0</v>
          </cell>
          <cell r="X249">
            <v>1694287042.2378292</v>
          </cell>
          <cell r="AK249">
            <v>1694287042.2378292</v>
          </cell>
          <cell r="AX249">
            <v>1694287042.2378292</v>
          </cell>
          <cell r="BK249">
            <v>1694287042.2378292</v>
          </cell>
          <cell r="CB249">
            <v>0</v>
          </cell>
        </row>
        <row r="250">
          <cell r="H250">
            <v>0</v>
          </cell>
          <cell r="I250">
            <v>0</v>
          </cell>
          <cell r="J250">
            <v>0</v>
          </cell>
          <cell r="K250">
            <v>0</v>
          </cell>
          <cell r="L250">
            <v>1068034765.0017999</v>
          </cell>
          <cell r="M250">
            <v>124999999.99996001</v>
          </cell>
          <cell r="R250">
            <v>181652173.91184554</v>
          </cell>
          <cell r="S250">
            <v>1695699755.9995999</v>
          </cell>
          <cell r="T250">
            <v>6736195248.0014782</v>
          </cell>
          <cell r="U250">
            <v>6018847584.0039768</v>
          </cell>
          <cell r="V250">
            <v>717347663.9975009</v>
          </cell>
          <cell r="W250">
            <v>0</v>
          </cell>
          <cell r="X250">
            <v>2451645485.7286706</v>
          </cell>
          <cell r="AK250">
            <v>2451645485.7286706</v>
          </cell>
          <cell r="AX250">
            <v>2451645485.7286706</v>
          </cell>
          <cell r="BK250">
            <v>2451645485.7286706</v>
          </cell>
          <cell r="CB250">
            <v>0</v>
          </cell>
        </row>
        <row r="251">
          <cell r="H251">
            <v>0</v>
          </cell>
          <cell r="I251">
            <v>0</v>
          </cell>
          <cell r="J251">
            <v>0</v>
          </cell>
          <cell r="K251">
            <v>0</v>
          </cell>
          <cell r="L251">
            <v>1068034765.0017999</v>
          </cell>
          <cell r="M251">
            <v>124999999.99996001</v>
          </cell>
          <cell r="R251">
            <v>181652173.91184554</v>
          </cell>
          <cell r="S251">
            <v>1027403927.9997</v>
          </cell>
          <cell r="T251">
            <v>4275702923.9974365</v>
          </cell>
          <cell r="U251">
            <v>3365108988.0007582</v>
          </cell>
          <cell r="V251">
            <v>808627739.99765265</v>
          </cell>
          <cell r="W251">
            <v>101966195.99902602</v>
          </cell>
          <cell r="X251">
            <v>1669448447.7276857</v>
          </cell>
          <cell r="AK251">
            <v>1669448447.7276857</v>
          </cell>
          <cell r="AX251">
            <v>1669448447.7276857</v>
          </cell>
          <cell r="BK251">
            <v>1669448447.7276857</v>
          </cell>
          <cell r="CB251">
            <v>0</v>
          </cell>
        </row>
        <row r="252">
          <cell r="H252">
            <v>0</v>
          </cell>
          <cell r="I252">
            <v>0</v>
          </cell>
          <cell r="J252">
            <v>0</v>
          </cell>
          <cell r="K252">
            <v>0</v>
          </cell>
          <cell r="L252">
            <v>1068034765.0017999</v>
          </cell>
          <cell r="M252">
            <v>124999999.99996001</v>
          </cell>
          <cell r="R252">
            <v>181652173.91184554</v>
          </cell>
          <cell r="S252">
            <v>1220667323.9990001</v>
          </cell>
          <cell r="T252">
            <v>8097340464.000802</v>
          </cell>
          <cell r="U252">
            <v>7130334960.0032454</v>
          </cell>
          <cell r="V252">
            <v>967005503.99755669</v>
          </cell>
          <cell r="W252">
            <v>0</v>
          </cell>
          <cell r="X252">
            <v>2213091576.7283521</v>
          </cell>
          <cell r="AK252">
            <v>2673173681.7283521</v>
          </cell>
          <cell r="AX252">
            <v>2673173681.7283521</v>
          </cell>
          <cell r="BK252">
            <v>3133255786.7283521</v>
          </cell>
          <cell r="CB252">
            <v>0</v>
          </cell>
        </row>
        <row r="253">
          <cell r="H253">
            <v>0</v>
          </cell>
          <cell r="I253">
            <v>0</v>
          </cell>
          <cell r="J253">
            <v>0</v>
          </cell>
          <cell r="K253">
            <v>0</v>
          </cell>
          <cell r="L253">
            <v>1068034765.0017999</v>
          </cell>
          <cell r="M253">
            <v>124999999.99996001</v>
          </cell>
          <cell r="R253">
            <v>181652173.91184554</v>
          </cell>
          <cell r="S253">
            <v>1658005799.9998</v>
          </cell>
          <cell r="T253">
            <v>3623287787.7052965</v>
          </cell>
          <cell r="U253">
            <v>2925183085.0753169</v>
          </cell>
          <cell r="V253">
            <v>536252260.49311686</v>
          </cell>
          <cell r="W253">
            <v>161852442.13686255</v>
          </cell>
          <cell r="X253">
            <v>1663995131.6546752</v>
          </cell>
          <cell r="AK253">
            <v>1663995131.6546752</v>
          </cell>
          <cell r="AX253">
            <v>1663995131.6546752</v>
          </cell>
          <cell r="BK253">
            <v>1663995131.6546752</v>
          </cell>
          <cell r="CB253">
            <v>0</v>
          </cell>
        </row>
        <row r="254">
          <cell r="H254">
            <v>0</v>
          </cell>
          <cell r="I254">
            <v>0</v>
          </cell>
          <cell r="J254">
            <v>0</v>
          </cell>
          <cell r="K254">
            <v>0</v>
          </cell>
          <cell r="M254">
            <v>642027306.31636</v>
          </cell>
          <cell r="R254">
            <v>38449841.439685434</v>
          </cell>
          <cell r="S254">
            <v>405874719.19985002</v>
          </cell>
          <cell r="T254">
            <v>3550433987.9984808</v>
          </cell>
          <cell r="U254">
            <v>2161203606.9639783</v>
          </cell>
          <cell r="V254">
            <v>1229517161.0362368</v>
          </cell>
          <cell r="W254">
            <v>159713219.99826565</v>
          </cell>
          <cell r="X254">
            <v>1159196463.7385941</v>
          </cell>
          <cell r="AK254">
            <v>1159196463.7385941</v>
          </cell>
          <cell r="AX254">
            <v>1159196463.7385941</v>
          </cell>
          <cell r="BK254">
            <v>1159196463.7385941</v>
          </cell>
          <cell r="CB254">
            <v>0</v>
          </cell>
        </row>
        <row r="255">
          <cell r="H255">
            <v>0</v>
          </cell>
          <cell r="I255">
            <v>0</v>
          </cell>
          <cell r="J255">
            <v>0</v>
          </cell>
          <cell r="K255">
            <v>0</v>
          </cell>
          <cell r="M255">
            <v>516614566.71696001</v>
          </cell>
          <cell r="R255">
            <v>24999999.999976017</v>
          </cell>
          <cell r="S255">
            <v>1436554876.4783001</v>
          </cell>
          <cell r="T255">
            <v>2730922714.3201704</v>
          </cell>
          <cell r="U255">
            <v>1557951960.9634624</v>
          </cell>
          <cell r="V255">
            <v>1172970753.3567078</v>
          </cell>
          <cell r="W255">
            <v>0</v>
          </cell>
          <cell r="X255">
            <v>1177273039.3788517</v>
          </cell>
          <cell r="AK255">
            <v>1177273039.3788517</v>
          </cell>
          <cell r="AX255">
            <v>1177273039.3788517</v>
          </cell>
          <cell r="BK255">
            <v>1177273039.3788517</v>
          </cell>
          <cell r="CB255">
            <v>0</v>
          </cell>
        </row>
        <row r="256">
          <cell r="H256">
            <v>0</v>
          </cell>
          <cell r="I256">
            <v>0</v>
          </cell>
          <cell r="J256">
            <v>0</v>
          </cell>
          <cell r="K256">
            <v>0</v>
          </cell>
          <cell r="M256">
            <v>775733326.67537999</v>
          </cell>
          <cell r="R256">
            <v>38830089.279852048</v>
          </cell>
          <cell r="S256">
            <v>527651302.08004999</v>
          </cell>
          <cell r="T256">
            <v>3446241258.4024372</v>
          </cell>
          <cell r="U256">
            <v>1899379532.5658638</v>
          </cell>
          <cell r="V256">
            <v>1523655693.8368142</v>
          </cell>
          <cell r="W256">
            <v>23206031.999759171</v>
          </cell>
          <cell r="X256">
            <v>1197113994.1094298</v>
          </cell>
          <cell r="AK256">
            <v>1197113994.1094298</v>
          </cell>
          <cell r="AX256">
            <v>1197113994.1094298</v>
          </cell>
          <cell r="BK256">
            <v>1197113994.1094298</v>
          </cell>
          <cell r="CB256">
            <v>0</v>
          </cell>
        </row>
        <row r="257">
          <cell r="H257">
            <v>0</v>
          </cell>
          <cell r="I257">
            <v>0</v>
          </cell>
          <cell r="J257">
            <v>0</v>
          </cell>
          <cell r="K257">
            <v>0</v>
          </cell>
          <cell r="M257">
            <v>747012513.59554994</v>
          </cell>
          <cell r="R257">
            <v>24999999.999976017</v>
          </cell>
          <cell r="S257">
            <v>484716294.71851999</v>
          </cell>
          <cell r="T257">
            <v>6370223939.3630838</v>
          </cell>
          <cell r="U257">
            <v>4572603086.7306051</v>
          </cell>
          <cell r="V257">
            <v>1464814004.6358671</v>
          </cell>
          <cell r="W257">
            <v>332806847.99661154</v>
          </cell>
          <cell r="X257">
            <v>1906738186.9192824</v>
          </cell>
          <cell r="AK257">
            <v>1906738186.9192824</v>
          </cell>
          <cell r="AX257">
            <v>1906738186.9192824</v>
          </cell>
          <cell r="BK257">
            <v>1906738186.9192824</v>
          </cell>
          <cell r="CB257">
            <v>0</v>
          </cell>
        </row>
        <row r="258">
          <cell r="H258">
            <v>0</v>
          </cell>
          <cell r="I258">
            <v>0</v>
          </cell>
          <cell r="J258">
            <v>0</v>
          </cell>
          <cell r="K258">
            <v>0</v>
          </cell>
          <cell r="M258">
            <v>1039328589.1938</v>
          </cell>
          <cell r="R258">
            <v>24999999.999976017</v>
          </cell>
          <cell r="S258">
            <v>1060349608.0792</v>
          </cell>
          <cell r="T258">
            <v>5280152163.5254307</v>
          </cell>
          <cell r="U258">
            <v>2770761876.654027</v>
          </cell>
          <cell r="V258">
            <v>2048316086.8759613</v>
          </cell>
          <cell r="W258">
            <v>461074199.99544203</v>
          </cell>
          <cell r="X258">
            <v>1851207590.1996017</v>
          </cell>
          <cell r="AK258">
            <v>1851207590.1996017</v>
          </cell>
          <cell r="AX258">
            <v>1851207590.1996017</v>
          </cell>
          <cell r="BK258">
            <v>1851207590.1996017</v>
          </cell>
          <cell r="CB258">
            <v>0</v>
          </cell>
        </row>
        <row r="259">
          <cell r="H259">
            <v>0</v>
          </cell>
          <cell r="I259">
            <v>0</v>
          </cell>
          <cell r="J259">
            <v>0</v>
          </cell>
          <cell r="K259">
            <v>0</v>
          </cell>
          <cell r="M259">
            <v>684274122.99620998</v>
          </cell>
          <cell r="R259">
            <v>24999999.999976017</v>
          </cell>
          <cell r="S259">
            <v>394957448.99958998</v>
          </cell>
          <cell r="T259">
            <v>4685292338.7752762</v>
          </cell>
          <cell r="U259">
            <v>2228773077.2645469</v>
          </cell>
          <cell r="V259">
            <v>2118132137.5142343</v>
          </cell>
          <cell r="W259">
            <v>338387123.99649507</v>
          </cell>
          <cell r="X259">
            <v>1447380977.6927631</v>
          </cell>
          <cell r="AK259">
            <v>1447380977.6927631</v>
          </cell>
          <cell r="AX259">
            <v>1447380977.6927631</v>
          </cell>
          <cell r="BK259">
            <v>1447380977.6927631</v>
          </cell>
          <cell r="CB259">
            <v>0</v>
          </cell>
        </row>
        <row r="260">
          <cell r="H260">
            <v>0</v>
          </cell>
          <cell r="I260">
            <v>0</v>
          </cell>
          <cell r="J260">
            <v>0</v>
          </cell>
          <cell r="K260">
            <v>0</v>
          </cell>
          <cell r="M260">
            <v>627791992.19613004</v>
          </cell>
          <cell r="R260">
            <v>32350787.919639323</v>
          </cell>
          <cell r="S260">
            <v>289633523.75871998</v>
          </cell>
          <cell r="T260">
            <v>3938512119.5379944</v>
          </cell>
          <cell r="U260">
            <v>2712583998.6621628</v>
          </cell>
          <cell r="V260">
            <v>1063930292.8773837</v>
          </cell>
          <cell r="W260">
            <v>161997827.99844784</v>
          </cell>
          <cell r="X260">
            <v>1222072105.8531208</v>
          </cell>
          <cell r="AK260">
            <v>1222072105.8531208</v>
          </cell>
          <cell r="AX260">
            <v>1222072105.8531208</v>
          </cell>
          <cell r="BK260">
            <v>1222072105.8531208</v>
          </cell>
          <cell r="CB260">
            <v>0</v>
          </cell>
        </row>
        <row r="261">
          <cell r="H261">
            <v>0</v>
          </cell>
          <cell r="I261">
            <v>0</v>
          </cell>
          <cell r="J261">
            <v>0</v>
          </cell>
          <cell r="K261">
            <v>0</v>
          </cell>
          <cell r="M261">
            <v>612208567.43638003</v>
          </cell>
          <cell r="R261">
            <v>24999999.999976017</v>
          </cell>
          <cell r="S261">
            <v>225913763.04089001</v>
          </cell>
          <cell r="T261">
            <v>3221361806.4007902</v>
          </cell>
          <cell r="U261">
            <v>1167175617.8476799</v>
          </cell>
          <cell r="V261">
            <v>1735983340.5564663</v>
          </cell>
          <cell r="W261">
            <v>318202847.9966439</v>
          </cell>
          <cell r="X261">
            <v>1021121034.2195091</v>
          </cell>
          <cell r="AK261">
            <v>1021121034.2195091</v>
          </cell>
          <cell r="AX261">
            <v>1021121034.2195091</v>
          </cell>
          <cell r="BK261">
            <v>1021121034.2195091</v>
          </cell>
          <cell r="CB261">
            <v>0</v>
          </cell>
        </row>
        <row r="262">
          <cell r="H262">
            <v>0</v>
          </cell>
          <cell r="I262">
            <v>0</v>
          </cell>
          <cell r="J262">
            <v>0</v>
          </cell>
          <cell r="K262">
            <v>0</v>
          </cell>
          <cell r="M262">
            <v>735436723.91551006</v>
          </cell>
          <cell r="R262">
            <v>24999999.999976017</v>
          </cell>
          <cell r="S262">
            <v>891810356.63847005</v>
          </cell>
          <cell r="T262">
            <v>6108780108.9840927</v>
          </cell>
          <cell r="U262">
            <v>3456480714.752408</v>
          </cell>
          <cell r="V262">
            <v>2372644374.2345977</v>
          </cell>
          <cell r="W262">
            <v>279655019.9970876</v>
          </cell>
          <cell r="X262">
            <v>1940256797.3845124</v>
          </cell>
          <cell r="AK262">
            <v>1940256797.3845124</v>
          </cell>
          <cell r="AX262">
            <v>1940256797.3845124</v>
          </cell>
          <cell r="BK262">
            <v>1940256797.3845124</v>
          </cell>
          <cell r="CB262">
            <v>0</v>
          </cell>
        </row>
        <row r="263">
          <cell r="H263">
            <v>0</v>
          </cell>
          <cell r="I263">
            <v>0</v>
          </cell>
          <cell r="J263">
            <v>0</v>
          </cell>
          <cell r="K263">
            <v>0</v>
          </cell>
          <cell r="M263">
            <v>656138859.35611999</v>
          </cell>
          <cell r="R263">
            <v>24999999.999976017</v>
          </cell>
          <cell r="S263">
            <v>485928162.72002</v>
          </cell>
          <cell r="T263">
            <v>5908938009.7095947</v>
          </cell>
          <cell r="U263">
            <v>2454634002.1215525</v>
          </cell>
          <cell r="V263">
            <v>2982424611.5927734</v>
          </cell>
          <cell r="W263">
            <v>471879395.99526906</v>
          </cell>
          <cell r="X263">
            <v>1769001257.9464278</v>
          </cell>
          <cell r="AK263">
            <v>1769001257.9464278</v>
          </cell>
          <cell r="AX263">
            <v>1769001257.9464278</v>
          </cell>
          <cell r="BK263">
            <v>1769001257.9464278</v>
          </cell>
          <cell r="CB263">
            <v>0</v>
          </cell>
        </row>
        <row r="264">
          <cell r="H264">
            <v>0</v>
          </cell>
          <cell r="I264">
            <v>0</v>
          </cell>
          <cell r="J264">
            <v>0</v>
          </cell>
          <cell r="K264">
            <v>0</v>
          </cell>
          <cell r="M264">
            <v>291664236.47823</v>
          </cell>
          <cell r="R264">
            <v>24999999.999976017</v>
          </cell>
          <cell r="S264">
            <v>152969552.39958</v>
          </cell>
          <cell r="T264">
            <v>799944299.97011447</v>
          </cell>
          <cell r="U264">
            <v>296766370.05274874</v>
          </cell>
          <cell r="V264">
            <v>233277733.92015415</v>
          </cell>
          <cell r="W264">
            <v>269900195.99721158</v>
          </cell>
          <cell r="X264">
            <v>317394522.2119751</v>
          </cell>
          <cell r="AK264">
            <v>317394522.2119751</v>
          </cell>
          <cell r="AX264">
            <v>317394522.2119751</v>
          </cell>
          <cell r="BK264">
            <v>317394522.2119751</v>
          </cell>
          <cell r="CB264">
            <v>0</v>
          </cell>
        </row>
        <row r="265">
          <cell r="H265">
            <v>0</v>
          </cell>
          <cell r="I265">
            <v>0</v>
          </cell>
          <cell r="J265">
            <v>0</v>
          </cell>
          <cell r="K265">
            <v>0</v>
          </cell>
          <cell r="M265">
            <v>574786666.91665006</v>
          </cell>
          <cell r="R265">
            <v>24999999.999976017</v>
          </cell>
          <cell r="S265">
            <v>700271097.11860001</v>
          </cell>
          <cell r="T265">
            <v>3726095765.658978</v>
          </cell>
          <cell r="U265">
            <v>2197299598.70435</v>
          </cell>
          <cell r="V265">
            <v>1217990502.9576325</v>
          </cell>
          <cell r="W265">
            <v>310805663.99699533</v>
          </cell>
          <cell r="X265">
            <v>1256538382.4235508</v>
          </cell>
          <cell r="AK265">
            <v>1256538382.4235508</v>
          </cell>
          <cell r="AX265">
            <v>1256538382.4235508</v>
          </cell>
          <cell r="BK265">
            <v>1256538382.4235508</v>
          </cell>
          <cell r="CB265">
            <v>0</v>
          </cell>
        </row>
        <row r="266">
          <cell r="H266">
            <v>0</v>
          </cell>
          <cell r="I266">
            <v>0</v>
          </cell>
          <cell r="J266">
            <v>0</v>
          </cell>
          <cell r="K266">
            <v>0</v>
          </cell>
          <cell r="M266">
            <v>464880437.15714997</v>
          </cell>
          <cell r="R266">
            <v>24999999.999976017</v>
          </cell>
          <cell r="S266">
            <v>420684117.83920997</v>
          </cell>
          <cell r="T266">
            <v>3363324569.8214741</v>
          </cell>
          <cell r="U266">
            <v>1693262791.2662518</v>
          </cell>
          <cell r="V266">
            <v>1670061778.555222</v>
          </cell>
          <cell r="W266">
            <v>0</v>
          </cell>
          <cell r="X266">
            <v>1068472281.2044525</v>
          </cell>
          <cell r="AK266">
            <v>1068472281.2044525</v>
          </cell>
          <cell r="AX266">
            <v>1068472281.2044525</v>
          </cell>
          <cell r="BK266">
            <v>1068472281.2044525</v>
          </cell>
          <cell r="CB266">
            <v>0</v>
          </cell>
        </row>
        <row r="267">
          <cell r="H267">
            <v>0</v>
          </cell>
          <cell r="I267">
            <v>0</v>
          </cell>
          <cell r="J267">
            <v>0</v>
          </cell>
          <cell r="K267">
            <v>0</v>
          </cell>
          <cell r="M267">
            <v>564393917.1566</v>
          </cell>
          <cell r="R267">
            <v>24999999.999976017</v>
          </cell>
          <cell r="S267">
            <v>1990172765.2794001</v>
          </cell>
          <cell r="T267">
            <v>3596396551.1419516</v>
          </cell>
          <cell r="U267">
            <v>2406181616.344532</v>
          </cell>
          <cell r="V267">
            <v>1129352842.7981601</v>
          </cell>
          <cell r="W267">
            <v>60862091.999259695</v>
          </cell>
          <cell r="X267">
            <v>1543990808.3944819</v>
          </cell>
          <cell r="AK267">
            <v>1543990808.3944819</v>
          </cell>
          <cell r="AX267">
            <v>1543990808.3944819</v>
          </cell>
          <cell r="BK267">
            <v>1543990808.3944819</v>
          </cell>
          <cell r="CB267">
            <v>0</v>
          </cell>
        </row>
        <row r="268">
          <cell r="H268">
            <v>0</v>
          </cell>
          <cell r="I268">
            <v>0</v>
          </cell>
          <cell r="J268">
            <v>0</v>
          </cell>
          <cell r="K268">
            <v>0</v>
          </cell>
          <cell r="M268">
            <v>447775019.35727</v>
          </cell>
          <cell r="R268">
            <v>24999999.999976017</v>
          </cell>
          <cell r="S268">
            <v>312528997.19950998</v>
          </cell>
          <cell r="T268">
            <v>3661762714.1348848</v>
          </cell>
          <cell r="U268">
            <v>2166016612.8608532</v>
          </cell>
          <cell r="V268">
            <v>1141876337.2777379</v>
          </cell>
          <cell r="W268">
            <v>353869763.99629408</v>
          </cell>
          <cell r="X268">
            <v>1111766682.6729102</v>
          </cell>
          <cell r="AK268">
            <v>1111766682.6729102</v>
          </cell>
          <cell r="AX268">
            <v>1111766682.6729102</v>
          </cell>
          <cell r="BK268">
            <v>1111766682.6729102</v>
          </cell>
          <cell r="CB268">
            <v>0</v>
          </cell>
        </row>
        <row r="269">
          <cell r="H269">
            <v>0</v>
          </cell>
          <cell r="I269">
            <v>0</v>
          </cell>
          <cell r="J269">
            <v>0</v>
          </cell>
          <cell r="K269">
            <v>0</v>
          </cell>
          <cell r="M269">
            <v>586000864.79653001</v>
          </cell>
          <cell r="R269">
            <v>24999999.999976017</v>
          </cell>
          <cell r="S269">
            <v>623169973.43830001</v>
          </cell>
          <cell r="T269">
            <v>5070562075.2120333</v>
          </cell>
          <cell r="U269">
            <v>3182564035.457335</v>
          </cell>
          <cell r="V269">
            <v>1887998039.7546983</v>
          </cell>
          <cell r="W269">
            <v>0</v>
          </cell>
          <cell r="X269">
            <v>1576183228.3617098</v>
          </cell>
          <cell r="AK269">
            <v>1576183228.3617098</v>
          </cell>
          <cell r="AX269">
            <v>1576183228.3617098</v>
          </cell>
          <cell r="BK269">
            <v>1576183228.3617098</v>
          </cell>
          <cell r="CB269">
            <v>0</v>
          </cell>
        </row>
        <row r="270">
          <cell r="H270">
            <v>0</v>
          </cell>
          <cell r="I270">
            <v>0</v>
          </cell>
          <cell r="J270">
            <v>0</v>
          </cell>
          <cell r="K270">
            <v>0</v>
          </cell>
          <cell r="M270">
            <v>645533757.99764001</v>
          </cell>
          <cell r="R270">
            <v>24999999.999976017</v>
          </cell>
          <cell r="S270">
            <v>235844600.87918001</v>
          </cell>
          <cell r="T270">
            <v>1702979987.4193611</v>
          </cell>
          <cell r="U270">
            <v>1196119422.4205468</v>
          </cell>
          <cell r="V270">
            <v>506860564.99881446</v>
          </cell>
          <cell r="W270">
            <v>0</v>
          </cell>
          <cell r="X270">
            <v>652339586.57403934</v>
          </cell>
          <cell r="AK270">
            <v>652339586.57403934</v>
          </cell>
          <cell r="AX270">
            <v>652339586.57403934</v>
          </cell>
          <cell r="BK270">
            <v>652339586.57403934</v>
          </cell>
          <cell r="CB270">
            <v>0</v>
          </cell>
        </row>
        <row r="271">
          <cell r="H271">
            <v>0</v>
          </cell>
          <cell r="I271">
            <v>0</v>
          </cell>
          <cell r="J271">
            <v>0</v>
          </cell>
          <cell r="K271">
            <v>0</v>
          </cell>
          <cell r="M271">
            <v>521657018.03678</v>
          </cell>
          <cell r="R271">
            <v>64460723.919549562</v>
          </cell>
          <cell r="S271">
            <v>304024823.75905001</v>
          </cell>
          <cell r="T271">
            <v>3659548874.0901279</v>
          </cell>
          <cell r="U271">
            <v>2403476477.2143316</v>
          </cell>
          <cell r="V271">
            <v>1099828280.8772027</v>
          </cell>
          <cell r="W271">
            <v>156244115.9985933</v>
          </cell>
          <cell r="X271">
            <v>1137422859.9513769</v>
          </cell>
          <cell r="AK271">
            <v>1137422859.9513769</v>
          </cell>
          <cell r="AX271">
            <v>1137422859.9513769</v>
          </cell>
          <cell r="BK271">
            <v>1137422859.9513769</v>
          </cell>
          <cell r="CB271">
            <v>0</v>
          </cell>
        </row>
        <row r="272">
          <cell r="H272">
            <v>0</v>
          </cell>
          <cell r="I272">
            <v>0</v>
          </cell>
          <cell r="J272">
            <v>0</v>
          </cell>
          <cell r="K272">
            <v>0</v>
          </cell>
          <cell r="M272">
            <v>371910311.15785003</v>
          </cell>
          <cell r="R272">
            <v>24999999.999976017</v>
          </cell>
          <cell r="S272">
            <v>245532124.31922999</v>
          </cell>
          <cell r="T272">
            <v>637834994.09568954</v>
          </cell>
          <cell r="U272">
            <v>417024000.89575422</v>
          </cell>
          <cell r="V272">
            <v>220810993.19993538</v>
          </cell>
          <cell r="W272">
            <v>0</v>
          </cell>
          <cell r="X272">
            <v>320069357.39318645</v>
          </cell>
          <cell r="AK272">
            <v>320069357.39318645</v>
          </cell>
          <cell r="AX272">
            <v>320069357.39318645</v>
          </cell>
          <cell r="BK272">
            <v>320069357.39318645</v>
          </cell>
          <cell r="CB272">
            <v>0</v>
          </cell>
        </row>
        <row r="273">
          <cell r="H273">
            <v>0</v>
          </cell>
          <cell r="I273">
            <v>0</v>
          </cell>
          <cell r="J273">
            <v>0</v>
          </cell>
          <cell r="K273">
            <v>0</v>
          </cell>
          <cell r="M273">
            <v>459033643.07729</v>
          </cell>
          <cell r="R273">
            <v>34168284.159939758</v>
          </cell>
          <cell r="S273">
            <v>287319143.99927998</v>
          </cell>
          <cell r="T273">
            <v>1348147147.6080022</v>
          </cell>
          <cell r="U273">
            <v>1132296792.8879838</v>
          </cell>
          <cell r="V273">
            <v>215850354.72001845</v>
          </cell>
          <cell r="W273">
            <v>0</v>
          </cell>
          <cell r="X273">
            <v>532167054.711128</v>
          </cell>
          <cell r="AK273">
            <v>532167054.711128</v>
          </cell>
          <cell r="AX273">
            <v>532167054.711128</v>
          </cell>
          <cell r="BK273">
            <v>532167054.711128</v>
          </cell>
          <cell r="CB273">
            <v>0</v>
          </cell>
        </row>
        <row r="274">
          <cell r="H274">
            <v>0</v>
          </cell>
          <cell r="I274">
            <v>0</v>
          </cell>
          <cell r="J274">
            <v>0</v>
          </cell>
          <cell r="K274">
            <v>0</v>
          </cell>
          <cell r="M274">
            <v>474508801.15723002</v>
          </cell>
          <cell r="R274">
            <v>24999999.999976017</v>
          </cell>
          <cell r="S274">
            <v>367936836.96002001</v>
          </cell>
          <cell r="T274">
            <v>3415008076.3426685</v>
          </cell>
          <cell r="U274">
            <v>1592150149.4693658</v>
          </cell>
          <cell r="V274">
            <v>1446227606.8769438</v>
          </cell>
          <cell r="W274">
            <v>376630319.99635869</v>
          </cell>
          <cell r="X274">
            <v>1070613428.6149737</v>
          </cell>
          <cell r="AK274">
            <v>1070613428.6149737</v>
          </cell>
          <cell r="AX274">
            <v>1070613428.6149737</v>
          </cell>
          <cell r="BK274">
            <v>1070613428.6149737</v>
          </cell>
          <cell r="CB274">
            <v>0</v>
          </cell>
        </row>
        <row r="275">
          <cell r="H275">
            <v>0</v>
          </cell>
          <cell r="I275">
            <v>0</v>
          </cell>
          <cell r="J275">
            <v>0</v>
          </cell>
          <cell r="K275">
            <v>0</v>
          </cell>
          <cell r="M275">
            <v>494423828.27709001</v>
          </cell>
          <cell r="R275">
            <v>32350787.919639323</v>
          </cell>
          <cell r="S275">
            <v>455762527.92101002</v>
          </cell>
          <cell r="T275">
            <v>2581943595.0960035</v>
          </cell>
          <cell r="U275">
            <v>1241591844.4599423</v>
          </cell>
          <cell r="V275">
            <v>1340351750.6360612</v>
          </cell>
          <cell r="W275">
            <v>0</v>
          </cell>
          <cell r="X275">
            <v>891120184.8034358</v>
          </cell>
          <cell r="AK275">
            <v>891120184.8034358</v>
          </cell>
          <cell r="AX275">
            <v>891120184.8034358</v>
          </cell>
          <cell r="BK275">
            <v>891120184.8034358</v>
          </cell>
          <cell r="CB275">
            <v>0</v>
          </cell>
        </row>
        <row r="276">
          <cell r="H276">
            <v>0</v>
          </cell>
          <cell r="I276">
            <v>0</v>
          </cell>
          <cell r="J276">
            <v>0</v>
          </cell>
          <cell r="K276">
            <v>0</v>
          </cell>
          <cell r="M276">
            <v>394257228.00000018</v>
          </cell>
          <cell r="R276">
            <v>24999999.999976017</v>
          </cell>
          <cell r="S276">
            <v>1006042883.9999957</v>
          </cell>
          <cell r="T276">
            <v>4290709380</v>
          </cell>
          <cell r="U276">
            <v>3139854432</v>
          </cell>
          <cell r="V276">
            <v>976583664</v>
          </cell>
          <cell r="W276">
            <v>174271284.00000003</v>
          </cell>
          <cell r="X276">
            <v>1429002372.9999928</v>
          </cell>
          <cell r="AK276">
            <v>1429002372.9999928</v>
          </cell>
          <cell r="AX276">
            <v>1429002372.9999928</v>
          </cell>
          <cell r="BK276">
            <v>1429002372.9999928</v>
          </cell>
          <cell r="CB276">
            <v>0</v>
          </cell>
        </row>
        <row r="277">
          <cell r="H277">
            <v>0</v>
          </cell>
          <cell r="I277">
            <v>0</v>
          </cell>
          <cell r="J277">
            <v>0</v>
          </cell>
          <cell r="K277">
            <v>0</v>
          </cell>
          <cell r="M277">
            <v>390417228.00000447</v>
          </cell>
          <cell r="R277">
            <v>24999999.999976017</v>
          </cell>
          <cell r="S277">
            <v>381106008</v>
          </cell>
          <cell r="T277">
            <v>1753187988</v>
          </cell>
          <cell r="U277">
            <v>1141617636</v>
          </cell>
          <cell r="V277">
            <v>611570352</v>
          </cell>
          <cell r="W277">
            <v>0</v>
          </cell>
          <cell r="X277">
            <v>637427805.99999511</v>
          </cell>
          <cell r="AK277">
            <v>637427805.99999511</v>
          </cell>
          <cell r="AX277">
            <v>637427805.99999511</v>
          </cell>
          <cell r="BK277">
            <v>637427805.99999511</v>
          </cell>
          <cell r="CB277">
            <v>0</v>
          </cell>
        </row>
        <row r="278">
          <cell r="H278">
            <v>0</v>
          </cell>
          <cell r="I278">
            <v>0</v>
          </cell>
          <cell r="J278">
            <v>0</v>
          </cell>
          <cell r="K278">
            <v>0</v>
          </cell>
          <cell r="M278">
            <v>390417227.99769002</v>
          </cell>
          <cell r="R278">
            <v>24999999.999976017</v>
          </cell>
          <cell r="S278">
            <v>259719299.99999958</v>
          </cell>
          <cell r="T278">
            <v>2182297464</v>
          </cell>
          <cell r="U278">
            <v>1654578156</v>
          </cell>
          <cell r="V278">
            <v>527719307.99999994</v>
          </cell>
          <cell r="W278">
            <v>0</v>
          </cell>
          <cell r="X278">
            <v>714358497.99941635</v>
          </cell>
          <cell r="AK278">
            <v>714358497.99941635</v>
          </cell>
          <cell r="AX278">
            <v>714358497.99941635</v>
          </cell>
          <cell r="BK278">
            <v>714358497.99941635</v>
          </cell>
          <cell r="CB278">
            <v>0</v>
          </cell>
        </row>
        <row r="279">
          <cell r="H279">
            <v>0</v>
          </cell>
          <cell r="I279">
            <v>0</v>
          </cell>
          <cell r="J279">
            <v>0</v>
          </cell>
          <cell r="K279">
            <v>0</v>
          </cell>
          <cell r="M279">
            <v>390417227.99769002</v>
          </cell>
          <cell r="R279">
            <v>24999999.999976017</v>
          </cell>
          <cell r="S279">
            <v>28969140.000002444</v>
          </cell>
          <cell r="T279">
            <v>651310284.00000012</v>
          </cell>
          <cell r="U279">
            <v>402764340</v>
          </cell>
          <cell r="V279">
            <v>125157384.00000012</v>
          </cell>
          <cell r="W279">
            <v>123388560</v>
          </cell>
          <cell r="X279">
            <v>273924162.99941719</v>
          </cell>
          <cell r="AK279">
            <v>273924162.99941719</v>
          </cell>
          <cell r="AX279">
            <v>273924162.99941719</v>
          </cell>
          <cell r="BK279">
            <v>273924162.99941719</v>
          </cell>
          <cell r="CB279">
            <v>0</v>
          </cell>
        </row>
        <row r="280">
          <cell r="H280">
            <v>0</v>
          </cell>
          <cell r="I280">
            <v>0</v>
          </cell>
          <cell r="J280">
            <v>0</v>
          </cell>
          <cell r="K280">
            <v>0</v>
          </cell>
          <cell r="M280">
            <v>386712000.00000018</v>
          </cell>
          <cell r="R280">
            <v>24999999.999976017</v>
          </cell>
          <cell r="S280">
            <v>422511400.00000435</v>
          </cell>
          <cell r="T280">
            <v>2976652220</v>
          </cell>
          <cell r="U280">
            <v>1954425671.9999998</v>
          </cell>
          <cell r="V280">
            <v>638708256</v>
          </cell>
          <cell r="W280">
            <v>383518292</v>
          </cell>
          <cell r="X280">
            <v>952718904.99999511</v>
          </cell>
          <cell r="AK280">
            <v>952718904.99999511</v>
          </cell>
          <cell r="AX280">
            <v>952718904.99999511</v>
          </cell>
          <cell r="BK280">
            <v>952718904.99999511</v>
          </cell>
          <cell r="CB280">
            <v>0</v>
          </cell>
        </row>
        <row r="281">
          <cell r="H281">
            <v>0</v>
          </cell>
          <cell r="I281">
            <v>0</v>
          </cell>
          <cell r="J281">
            <v>0</v>
          </cell>
          <cell r="K281">
            <v>0</v>
          </cell>
          <cell r="M281">
            <v>390417228.00000447</v>
          </cell>
          <cell r="R281">
            <v>24999999.999976017</v>
          </cell>
          <cell r="S281">
            <v>2.5779008865356445E-6</v>
          </cell>
          <cell r="T281">
            <v>1571131368.0000002</v>
          </cell>
          <cell r="U281">
            <v>1007504040.0000001</v>
          </cell>
          <cell r="V281">
            <v>174750576.00000006</v>
          </cell>
          <cell r="W281">
            <v>388876752</v>
          </cell>
          <cell r="X281">
            <v>496637148.99999583</v>
          </cell>
          <cell r="AK281">
            <v>496637148.99999583</v>
          </cell>
          <cell r="AX281">
            <v>496637148.99999583</v>
          </cell>
          <cell r="BK281">
            <v>496637148.99999583</v>
          </cell>
          <cell r="CB281">
            <v>0</v>
          </cell>
        </row>
        <row r="282">
          <cell r="H282">
            <v>0</v>
          </cell>
          <cell r="I282">
            <v>0</v>
          </cell>
          <cell r="J282">
            <v>0</v>
          </cell>
          <cell r="K282">
            <v>0</v>
          </cell>
          <cell r="M282">
            <v>390417227.99769002</v>
          </cell>
          <cell r="R282">
            <v>24999999.999976017</v>
          </cell>
          <cell r="S282">
            <v>398761932</v>
          </cell>
          <cell r="T282">
            <v>1970996781.7319999</v>
          </cell>
          <cell r="U282">
            <v>1293755037.7319999</v>
          </cell>
          <cell r="V282">
            <v>677241744</v>
          </cell>
          <cell r="W282">
            <v>0</v>
          </cell>
          <cell r="X282">
            <v>696293985.43241644</v>
          </cell>
          <cell r="AK282">
            <v>696293985.43241644</v>
          </cell>
          <cell r="AX282">
            <v>696293985.43241644</v>
          </cell>
          <cell r="BK282">
            <v>696293985.43241644</v>
          </cell>
          <cell r="CB282">
            <v>0</v>
          </cell>
        </row>
        <row r="283">
          <cell r="H283">
            <v>0</v>
          </cell>
          <cell r="I283">
            <v>0</v>
          </cell>
          <cell r="J283">
            <v>0</v>
          </cell>
          <cell r="K283">
            <v>0</v>
          </cell>
          <cell r="M283">
            <v>386577228.00000018</v>
          </cell>
          <cell r="R283">
            <v>24999999.999976017</v>
          </cell>
          <cell r="S283">
            <v>156204816</v>
          </cell>
          <cell r="T283">
            <v>2711667326</v>
          </cell>
          <cell r="U283">
            <v>1675693166</v>
          </cell>
          <cell r="V283">
            <v>673454820</v>
          </cell>
          <cell r="W283">
            <v>362519340</v>
          </cell>
          <cell r="X283">
            <v>819862342.49999404</v>
          </cell>
          <cell r="AK283">
            <v>819862342.49999404</v>
          </cell>
          <cell r="AX283">
            <v>819862342.49999404</v>
          </cell>
          <cell r="BK283">
            <v>819862342.49999404</v>
          </cell>
          <cell r="CB283">
            <v>0</v>
          </cell>
        </row>
        <row r="284">
          <cell r="H284">
            <v>0</v>
          </cell>
          <cell r="I284">
            <v>0</v>
          </cell>
          <cell r="J284">
            <v>0</v>
          </cell>
          <cell r="K284">
            <v>0</v>
          </cell>
          <cell r="M284">
            <v>386577228.00000018</v>
          </cell>
          <cell r="R284">
            <v>24999999.999976017</v>
          </cell>
          <cell r="S284">
            <v>582941744.03000438</v>
          </cell>
          <cell r="T284">
            <v>1869424731.6353853</v>
          </cell>
          <cell r="U284">
            <v>1548825885.0353854</v>
          </cell>
          <cell r="V284">
            <v>268099158.5999999</v>
          </cell>
          <cell r="W284">
            <v>52499688</v>
          </cell>
          <cell r="X284">
            <v>715985925.91634154</v>
          </cell>
          <cell r="AK284">
            <v>715985925.91634154</v>
          </cell>
          <cell r="AX284">
            <v>715985925.91634154</v>
          </cell>
          <cell r="BK284">
            <v>715985925.91634154</v>
          </cell>
          <cell r="CB284">
            <v>0</v>
          </cell>
        </row>
        <row r="285">
          <cell r="H285">
            <v>0</v>
          </cell>
          <cell r="I285">
            <v>0</v>
          </cell>
          <cell r="J285">
            <v>0</v>
          </cell>
          <cell r="K285">
            <v>0</v>
          </cell>
          <cell r="M285">
            <v>390417227.99769002</v>
          </cell>
          <cell r="R285">
            <v>24999999.999976017</v>
          </cell>
          <cell r="S285">
            <v>248480532.00000218</v>
          </cell>
          <cell r="T285">
            <v>2260090560</v>
          </cell>
          <cell r="U285">
            <v>2098813752</v>
          </cell>
          <cell r="V285">
            <v>161276808</v>
          </cell>
          <cell r="W285">
            <v>0</v>
          </cell>
          <cell r="X285">
            <v>730997079.99941707</v>
          </cell>
          <cell r="AK285">
            <v>730997079.99941707</v>
          </cell>
          <cell r="AX285">
            <v>730997079.99941707</v>
          </cell>
          <cell r="BK285">
            <v>730997079.99941707</v>
          </cell>
          <cell r="CB285">
            <v>0</v>
          </cell>
        </row>
        <row r="286">
          <cell r="H286">
            <v>0</v>
          </cell>
          <cell r="I286">
            <v>0</v>
          </cell>
          <cell r="J286">
            <v>0</v>
          </cell>
          <cell r="K286">
            <v>0</v>
          </cell>
          <cell r="M286">
            <v>386577227.99777001</v>
          </cell>
          <cell r="R286">
            <v>24999999.999976017</v>
          </cell>
          <cell r="S286">
            <v>3.9339065551757813E-6</v>
          </cell>
          <cell r="T286">
            <v>2572559568</v>
          </cell>
          <cell r="U286">
            <v>1983596100</v>
          </cell>
          <cell r="V286">
            <v>588963468</v>
          </cell>
          <cell r="W286">
            <v>0</v>
          </cell>
          <cell r="X286">
            <v>746034198.99943745</v>
          </cell>
          <cell r="AK286">
            <v>746034198.99943745</v>
          </cell>
          <cell r="AX286">
            <v>746034198.99943745</v>
          </cell>
          <cell r="BK286">
            <v>746034198.99943745</v>
          </cell>
          <cell r="CB286">
            <v>0</v>
          </cell>
        </row>
        <row r="287">
          <cell r="H287">
            <v>0</v>
          </cell>
          <cell r="I287">
            <v>0</v>
          </cell>
          <cell r="J287">
            <v>0</v>
          </cell>
          <cell r="K287">
            <v>0</v>
          </cell>
          <cell r="M287">
            <v>390417227.99999583</v>
          </cell>
          <cell r="R287">
            <v>24999999.999976017</v>
          </cell>
          <cell r="S287">
            <v>313186092</v>
          </cell>
          <cell r="T287">
            <v>2205567132</v>
          </cell>
          <cell r="U287">
            <v>1300266264</v>
          </cell>
          <cell r="V287">
            <v>771975060</v>
          </cell>
          <cell r="W287">
            <v>133325807.99999999</v>
          </cell>
          <cell r="X287">
            <v>733542612.99999297</v>
          </cell>
          <cell r="AK287">
            <v>733542612.99999297</v>
          </cell>
          <cell r="AX287">
            <v>733542612.99999297</v>
          </cell>
          <cell r="BK287">
            <v>733542612.99999297</v>
          </cell>
          <cell r="CB287">
            <v>0</v>
          </cell>
        </row>
        <row r="288">
          <cell r="H288">
            <v>0</v>
          </cell>
          <cell r="I288">
            <v>0</v>
          </cell>
          <cell r="J288">
            <v>0</v>
          </cell>
          <cell r="K288">
            <v>0</v>
          </cell>
          <cell r="M288">
            <v>390417227.99769002</v>
          </cell>
          <cell r="R288">
            <v>24999999.999976017</v>
          </cell>
          <cell r="S288">
            <v>823543536.00001001</v>
          </cell>
          <cell r="T288">
            <v>3117418617.9941773</v>
          </cell>
          <cell r="U288">
            <v>1859460475.9971039</v>
          </cell>
          <cell r="V288">
            <v>1018681781.9979851</v>
          </cell>
          <cell r="W288">
            <v>239276359.99908847</v>
          </cell>
          <cell r="X288">
            <v>1089094845.4979634</v>
          </cell>
          <cell r="AK288">
            <v>1089094845.4979634</v>
          </cell>
          <cell r="AX288">
            <v>1089094845.4979634</v>
          </cell>
          <cell r="BK288">
            <v>1089094845.4979634</v>
          </cell>
          <cell r="CB288">
            <v>0</v>
          </cell>
        </row>
        <row r="289">
          <cell r="H289">
            <v>0</v>
          </cell>
          <cell r="I289">
            <v>0</v>
          </cell>
          <cell r="J289">
            <v>0</v>
          </cell>
          <cell r="K289">
            <v>0</v>
          </cell>
          <cell r="M289">
            <v>390417227.99769002</v>
          </cell>
          <cell r="R289">
            <v>24999999.999976017</v>
          </cell>
          <cell r="S289">
            <v>444448427.99984998</v>
          </cell>
          <cell r="T289">
            <v>2916735515.9988661</v>
          </cell>
          <cell r="U289">
            <v>2272076400.0001521</v>
          </cell>
          <cell r="V289">
            <v>644659115.99871373</v>
          </cell>
          <cell r="W289">
            <v>0</v>
          </cell>
          <cell r="X289">
            <v>944150292.99909532</v>
          </cell>
          <cell r="AK289">
            <v>944150292.99909532</v>
          </cell>
          <cell r="AX289">
            <v>944150292.99909532</v>
          </cell>
          <cell r="BK289">
            <v>944150292.99909532</v>
          </cell>
          <cell r="CB289">
            <v>0</v>
          </cell>
        </row>
        <row r="290">
          <cell r="H290">
            <v>0</v>
          </cell>
          <cell r="I290">
            <v>0</v>
          </cell>
          <cell r="J290">
            <v>0</v>
          </cell>
          <cell r="K290">
            <v>0</v>
          </cell>
          <cell r="M290">
            <v>394257227.99760997</v>
          </cell>
          <cell r="R290">
            <v>24999999.999976017</v>
          </cell>
          <cell r="S290">
            <v>141732048.00022799</v>
          </cell>
          <cell r="T290">
            <v>1586560367.9991243</v>
          </cell>
          <cell r="U290">
            <v>1043932403.9991243</v>
          </cell>
          <cell r="V290">
            <v>360074352</v>
          </cell>
          <cell r="W290">
            <v>182553612</v>
          </cell>
          <cell r="X290">
            <v>536887410.99923456</v>
          </cell>
          <cell r="AK290">
            <v>536887410.99923456</v>
          </cell>
          <cell r="AX290">
            <v>536887410.99923456</v>
          </cell>
          <cell r="BK290">
            <v>536887410.99923456</v>
          </cell>
          <cell r="CB290">
            <v>0</v>
          </cell>
        </row>
        <row r="291">
          <cell r="H291">
            <v>0</v>
          </cell>
          <cell r="I291">
            <v>0</v>
          </cell>
          <cell r="J291">
            <v>0</v>
          </cell>
          <cell r="K291">
            <v>0</v>
          </cell>
          <cell r="M291">
            <v>390417227.99769002</v>
          </cell>
          <cell r="R291">
            <v>24999999.999976017</v>
          </cell>
          <cell r="S291">
            <v>958825327.64900005</v>
          </cell>
          <cell r="T291">
            <v>2829090710.8258419</v>
          </cell>
          <cell r="U291">
            <v>2523313056.9065552</v>
          </cell>
          <cell r="V291">
            <v>277930159.91959822</v>
          </cell>
          <cell r="W291">
            <v>27847493.999688715</v>
          </cell>
          <cell r="X291">
            <v>1050833316.618127</v>
          </cell>
          <cell r="AK291">
            <v>1050833316.618127</v>
          </cell>
          <cell r="AX291">
            <v>1050833316.618127</v>
          </cell>
          <cell r="BK291">
            <v>1050833316.618127</v>
          </cell>
          <cell r="CB291">
            <v>0</v>
          </cell>
        </row>
        <row r="292">
          <cell r="H292">
            <v>0</v>
          </cell>
          <cell r="I292">
            <v>0</v>
          </cell>
          <cell r="J292">
            <v>0</v>
          </cell>
          <cell r="K292">
            <v>0</v>
          </cell>
          <cell r="M292">
            <v>386577227.99777001</v>
          </cell>
          <cell r="R292">
            <v>24999999.999976017</v>
          </cell>
          <cell r="S292">
            <v>39415188.001138002</v>
          </cell>
          <cell r="T292">
            <v>969345299.99831903</v>
          </cell>
          <cell r="U292">
            <v>534057792.0000453</v>
          </cell>
          <cell r="V292">
            <v>268816031.99972576</v>
          </cell>
          <cell r="W292">
            <v>166471475.99854794</v>
          </cell>
          <cell r="X292">
            <v>355084428.99930078</v>
          </cell>
          <cell r="AK292">
            <v>355084428.99930078</v>
          </cell>
          <cell r="AX292">
            <v>355084428.99930078</v>
          </cell>
          <cell r="BK292">
            <v>355084428.99930078</v>
          </cell>
          <cell r="CB292">
            <v>0</v>
          </cell>
        </row>
        <row r="293">
          <cell r="H293">
            <v>0</v>
          </cell>
          <cell r="I293">
            <v>0</v>
          </cell>
          <cell r="J293">
            <v>0</v>
          </cell>
          <cell r="K293">
            <v>0</v>
          </cell>
          <cell r="M293">
            <v>394257227.99760997</v>
          </cell>
          <cell r="R293">
            <v>24999999.999976017</v>
          </cell>
          <cell r="S293">
            <v>689008656.00075996</v>
          </cell>
          <cell r="T293">
            <v>3927925403.9934921</v>
          </cell>
          <cell r="U293">
            <v>2732657603.9977088</v>
          </cell>
          <cell r="V293">
            <v>1082815739.9967735</v>
          </cell>
          <cell r="W293">
            <v>112452059.99900995</v>
          </cell>
          <cell r="X293">
            <v>1259047821.9979596</v>
          </cell>
          <cell r="AK293">
            <v>1259047821.9979596</v>
          </cell>
          <cell r="AX293">
            <v>1259047821.9979596</v>
          </cell>
          <cell r="BK293">
            <v>1259047821.9979596</v>
          </cell>
          <cell r="CB293">
            <v>0</v>
          </cell>
        </row>
        <row r="294">
          <cell r="H294">
            <v>0</v>
          </cell>
          <cell r="I294">
            <v>0</v>
          </cell>
          <cell r="J294">
            <v>0</v>
          </cell>
          <cell r="K294">
            <v>0</v>
          </cell>
          <cell r="M294">
            <v>394257227.99760997</v>
          </cell>
          <cell r="R294">
            <v>24999999.999976017</v>
          </cell>
          <cell r="S294">
            <v>331810984.84135699</v>
          </cell>
          <cell r="T294">
            <v>606745803.53944683</v>
          </cell>
          <cell r="U294">
            <v>434462581.06529123</v>
          </cell>
          <cell r="V294">
            <v>49930378.572955973</v>
          </cell>
          <cell r="W294">
            <v>122352843.9011997</v>
          </cell>
          <cell r="X294">
            <v>339453504.09459746</v>
          </cell>
          <cell r="AK294">
            <v>339453504.09459746</v>
          </cell>
          <cell r="AX294">
            <v>339453504.09459746</v>
          </cell>
          <cell r="BK294">
            <v>339453504.09459746</v>
          </cell>
          <cell r="CB294">
            <v>0</v>
          </cell>
        </row>
        <row r="295">
          <cell r="X295">
            <v>1281072478721.9675</v>
          </cell>
          <cell r="AK295">
            <v>1271072478721.9678</v>
          </cell>
          <cell r="AX295">
            <v>1271072478721.9678</v>
          </cell>
          <cell r="BK295">
            <v>1261072478721.9675</v>
          </cell>
          <cell r="CB295">
            <v>0</v>
          </cell>
        </row>
      </sheetData>
      <sheetData sheetId="4" refreshError="1"/>
      <sheetData sheetId="5">
        <row r="2">
          <cell r="F2" t="str">
            <v>Approved Budget FY 2016/17</v>
          </cell>
          <cell r="H2" t="str">
            <v>Shortfall</v>
          </cell>
        </row>
        <row r="3">
          <cell r="F3">
            <v>48478712825.079994</v>
          </cell>
          <cell r="H3">
            <v>0</v>
          </cell>
        </row>
        <row r="4">
          <cell r="F4">
            <v>13225176438</v>
          </cell>
          <cell r="H4">
            <v>0</v>
          </cell>
        </row>
        <row r="5">
          <cell r="F5">
            <v>2709072180</v>
          </cell>
          <cell r="H5">
            <v>1162196833</v>
          </cell>
        </row>
        <row r="6">
          <cell r="F6">
            <v>410393037130.42798</v>
          </cell>
          <cell r="H6">
            <v>0</v>
          </cell>
        </row>
        <row r="7">
          <cell r="F7">
            <v>3946452554</v>
          </cell>
          <cell r="H7">
            <v>0</v>
          </cell>
        </row>
        <row r="8">
          <cell r="F8">
            <v>4680192372</v>
          </cell>
          <cell r="H8">
            <v>0</v>
          </cell>
        </row>
        <row r="9">
          <cell r="F9">
            <v>3548059391.9941368</v>
          </cell>
          <cell r="H9">
            <v>208358274</v>
          </cell>
        </row>
        <row r="10">
          <cell r="F10">
            <v>4269510138.3519921</v>
          </cell>
          <cell r="H10">
            <v>0</v>
          </cell>
        </row>
        <row r="11">
          <cell r="F11">
            <v>1784367889.7</v>
          </cell>
          <cell r="H11">
            <v>515531706</v>
          </cell>
        </row>
        <row r="12">
          <cell r="F12">
            <v>5583560834.9993</v>
          </cell>
          <cell r="H12">
            <v>0</v>
          </cell>
        </row>
        <row r="13">
          <cell r="F13">
            <v>6621313106</v>
          </cell>
          <cell r="H13">
            <v>0</v>
          </cell>
        </row>
        <row r="14">
          <cell r="F14">
            <v>4201043763</v>
          </cell>
          <cell r="H14">
            <v>0</v>
          </cell>
        </row>
        <row r="15">
          <cell r="F15">
            <v>12823612471.31267</v>
          </cell>
          <cell r="H15">
            <v>0</v>
          </cell>
        </row>
        <row r="16">
          <cell r="F16">
            <v>8981186521</v>
          </cell>
          <cell r="H16">
            <v>0</v>
          </cell>
        </row>
        <row r="17">
          <cell r="F17">
            <v>1940541276.4000001</v>
          </cell>
          <cell r="H17">
            <v>0</v>
          </cell>
        </row>
        <row r="18">
          <cell r="F18">
            <v>9012928468</v>
          </cell>
          <cell r="H18">
            <v>1900284759</v>
          </cell>
        </row>
        <row r="19">
          <cell r="F19">
            <v>4062808958</v>
          </cell>
          <cell r="H19">
            <v>0</v>
          </cell>
        </row>
        <row r="20">
          <cell r="F20">
            <v>3437288016.0900002</v>
          </cell>
          <cell r="H20">
            <v>0</v>
          </cell>
        </row>
        <row r="21">
          <cell r="F21">
            <v>4365684752</v>
          </cell>
          <cell r="H21">
            <v>0</v>
          </cell>
        </row>
        <row r="22">
          <cell r="F22">
            <v>817107861</v>
          </cell>
          <cell r="H22">
            <v>0</v>
          </cell>
        </row>
        <row r="23">
          <cell r="F23">
            <v>568812090</v>
          </cell>
          <cell r="H23">
            <v>0</v>
          </cell>
        </row>
        <row r="24">
          <cell r="F24">
            <v>1782582670.5</v>
          </cell>
          <cell r="H24">
            <v>0</v>
          </cell>
        </row>
        <row r="25">
          <cell r="F25">
            <v>27178007797.2878</v>
          </cell>
          <cell r="H25">
            <v>0</v>
          </cell>
        </row>
        <row r="26">
          <cell r="F26">
            <v>8298317068</v>
          </cell>
          <cell r="H26">
            <v>0</v>
          </cell>
        </row>
        <row r="27">
          <cell r="F27">
            <v>19789498444</v>
          </cell>
          <cell r="H27">
            <v>0</v>
          </cell>
        </row>
        <row r="28">
          <cell r="F28">
            <v>86863322595</v>
          </cell>
          <cell r="H28">
            <v>0</v>
          </cell>
        </row>
        <row r="29">
          <cell r="F29">
            <v>4073396523.8800001</v>
          </cell>
          <cell r="H29">
            <v>0</v>
          </cell>
        </row>
        <row r="30">
          <cell r="F30">
            <v>5591118479</v>
          </cell>
          <cell r="H30">
            <v>429198968</v>
          </cell>
        </row>
        <row r="31">
          <cell r="F31">
            <v>1319679712.96</v>
          </cell>
          <cell r="H31">
            <v>54785218</v>
          </cell>
        </row>
        <row r="32">
          <cell r="F32">
            <v>6755343460</v>
          </cell>
          <cell r="H32">
            <v>0</v>
          </cell>
        </row>
        <row r="33">
          <cell r="F33">
            <v>3803985000</v>
          </cell>
          <cell r="H33">
            <v>0</v>
          </cell>
        </row>
        <row r="34">
          <cell r="F34">
            <v>3720150188</v>
          </cell>
          <cell r="H34">
            <v>0</v>
          </cell>
        </row>
        <row r="35">
          <cell r="F35">
            <v>17332321163.860001</v>
          </cell>
          <cell r="H35">
            <v>3277680516</v>
          </cell>
        </row>
        <row r="36">
          <cell r="F36">
            <v>586618776</v>
          </cell>
          <cell r="H36">
            <v>294276</v>
          </cell>
        </row>
        <row r="37">
          <cell r="F37">
            <v>71105192984</v>
          </cell>
          <cell r="H37">
            <v>0</v>
          </cell>
        </row>
        <row r="38">
          <cell r="F38">
            <v>2349469491.9000001</v>
          </cell>
          <cell r="H38">
            <v>0</v>
          </cell>
        </row>
        <row r="39">
          <cell r="F39">
            <v>2834987153</v>
          </cell>
          <cell r="H39">
            <v>0</v>
          </cell>
        </row>
        <row r="40">
          <cell r="F40">
            <v>1855392000.1998999</v>
          </cell>
          <cell r="H40">
            <v>0</v>
          </cell>
        </row>
        <row r="41">
          <cell r="F41">
            <v>2511191000</v>
          </cell>
          <cell r="H41">
            <v>0</v>
          </cell>
        </row>
        <row r="42">
          <cell r="F42">
            <v>7056700645</v>
          </cell>
          <cell r="H42">
            <v>493656000</v>
          </cell>
        </row>
        <row r="43">
          <cell r="F43">
            <v>4023486557.4400001</v>
          </cell>
          <cell r="H43">
            <v>0</v>
          </cell>
        </row>
        <row r="44">
          <cell r="F44">
            <v>1570400000</v>
          </cell>
          <cell r="H44">
            <v>0</v>
          </cell>
        </row>
        <row r="45">
          <cell r="F45">
            <v>52515960062.083878</v>
          </cell>
          <cell r="H45">
            <v>0</v>
          </cell>
        </row>
        <row r="46">
          <cell r="F46">
            <v>2966807972</v>
          </cell>
          <cell r="H46">
            <v>0</v>
          </cell>
        </row>
        <row r="47">
          <cell r="F47">
            <v>1900000000</v>
          </cell>
          <cell r="H47">
            <v>0</v>
          </cell>
        </row>
        <row r="48">
          <cell r="F48">
            <v>6345161925</v>
          </cell>
          <cell r="H48">
            <v>0</v>
          </cell>
        </row>
        <row r="49">
          <cell r="F49">
            <v>3530247572.4991999</v>
          </cell>
          <cell r="H49">
            <v>0</v>
          </cell>
        </row>
        <row r="50">
          <cell r="F50">
            <v>3950000000</v>
          </cell>
          <cell r="H50">
            <v>0</v>
          </cell>
        </row>
        <row r="51">
          <cell r="F51">
            <v>2306000000</v>
          </cell>
          <cell r="H51">
            <v>0</v>
          </cell>
        </row>
        <row r="52">
          <cell r="F52">
            <v>19574846307</v>
          </cell>
          <cell r="H52">
            <v>391731557</v>
          </cell>
        </row>
        <row r="53">
          <cell r="F53">
            <v>1256236439.28</v>
          </cell>
          <cell r="H53">
            <v>0</v>
          </cell>
        </row>
        <row r="54">
          <cell r="F54">
            <v>7290009072.96</v>
          </cell>
          <cell r="H54">
            <v>0</v>
          </cell>
        </row>
        <row r="55">
          <cell r="F55">
            <v>1189382050.72</v>
          </cell>
          <cell r="H55">
            <v>0</v>
          </cell>
        </row>
        <row r="56">
          <cell r="F56">
            <v>100077312793.2</v>
          </cell>
          <cell r="H56">
            <v>0</v>
          </cell>
        </row>
        <row r="57">
          <cell r="F57">
            <v>23929174049</v>
          </cell>
          <cell r="H57">
            <v>0</v>
          </cell>
        </row>
        <row r="58">
          <cell r="F58">
            <v>16264136962</v>
          </cell>
          <cell r="H58">
            <v>0</v>
          </cell>
        </row>
        <row r="59">
          <cell r="F59">
            <v>32183654073.200001</v>
          </cell>
          <cell r="H59">
            <v>0</v>
          </cell>
        </row>
        <row r="60">
          <cell r="F60">
            <v>1681776695.2</v>
          </cell>
          <cell r="H60">
            <v>0</v>
          </cell>
        </row>
        <row r="61">
          <cell r="F61">
            <v>112131553133</v>
          </cell>
          <cell r="H61">
            <v>0</v>
          </cell>
        </row>
        <row r="62">
          <cell r="F62">
            <v>22472228449</v>
          </cell>
          <cell r="H62">
            <v>0</v>
          </cell>
        </row>
        <row r="63">
          <cell r="F63">
            <v>12849513885.800001</v>
          </cell>
          <cell r="H63">
            <v>0</v>
          </cell>
        </row>
        <row r="64">
          <cell r="F64">
            <v>236401319334.28</v>
          </cell>
          <cell r="H64">
            <v>0</v>
          </cell>
        </row>
        <row r="65">
          <cell r="F65">
            <v>52354391701.599998</v>
          </cell>
          <cell r="H65">
            <v>0</v>
          </cell>
        </row>
        <row r="66">
          <cell r="F66">
            <v>1568271017</v>
          </cell>
          <cell r="H66">
            <v>0</v>
          </cell>
        </row>
        <row r="67">
          <cell r="F67">
            <v>1118818400</v>
          </cell>
          <cell r="H67">
            <v>0</v>
          </cell>
        </row>
        <row r="68">
          <cell r="F68">
            <v>779542430</v>
          </cell>
          <cell r="H68">
            <v>0</v>
          </cell>
        </row>
        <row r="69">
          <cell r="F69">
            <v>18462902551.989002</v>
          </cell>
          <cell r="H69">
            <v>2900937168</v>
          </cell>
        </row>
        <row r="70">
          <cell r="F70">
            <v>3699988039.02</v>
          </cell>
          <cell r="H70">
            <v>0</v>
          </cell>
        </row>
        <row r="71">
          <cell r="F71">
            <v>2714602636.04</v>
          </cell>
          <cell r="H71">
            <v>0</v>
          </cell>
        </row>
        <row r="72">
          <cell r="F72">
            <v>2184900000.0900002</v>
          </cell>
          <cell r="H72">
            <v>0</v>
          </cell>
        </row>
        <row r="73">
          <cell r="F73">
            <v>6549591800</v>
          </cell>
          <cell r="H73">
            <v>0</v>
          </cell>
        </row>
        <row r="74">
          <cell r="F74">
            <v>6355699000</v>
          </cell>
          <cell r="H74">
            <v>0</v>
          </cell>
        </row>
        <row r="75">
          <cell r="F75">
            <v>365510526.24183619</v>
          </cell>
          <cell r="H75">
            <v>0</v>
          </cell>
        </row>
        <row r="76">
          <cell r="F76">
            <v>5400000000</v>
          </cell>
          <cell r="H76">
            <v>0</v>
          </cell>
        </row>
        <row r="77">
          <cell r="F77">
            <v>11764319600</v>
          </cell>
          <cell r="H77">
            <v>0</v>
          </cell>
        </row>
        <row r="78">
          <cell r="F78">
            <v>22705144756.599998</v>
          </cell>
          <cell r="H78">
            <v>241642778</v>
          </cell>
        </row>
        <row r="79">
          <cell r="F79">
            <v>3798738364</v>
          </cell>
          <cell r="H79">
            <v>0</v>
          </cell>
        </row>
        <row r="80">
          <cell r="F80">
            <v>3701700000</v>
          </cell>
          <cell r="H80">
            <v>0</v>
          </cell>
        </row>
        <row r="81">
          <cell r="F81">
            <v>1215035576</v>
          </cell>
          <cell r="H81">
            <v>0</v>
          </cell>
        </row>
        <row r="82">
          <cell r="F82">
            <v>3965680000</v>
          </cell>
          <cell r="H82">
            <v>0</v>
          </cell>
        </row>
        <row r="83">
          <cell r="F83">
            <v>952000000</v>
          </cell>
          <cell r="H83">
            <v>0</v>
          </cell>
        </row>
        <row r="84">
          <cell r="F84">
            <v>758815588</v>
          </cell>
          <cell r="H84">
            <v>0</v>
          </cell>
        </row>
        <row r="85">
          <cell r="F85">
            <v>1160400000</v>
          </cell>
          <cell r="H85">
            <v>0</v>
          </cell>
        </row>
        <row r="86">
          <cell r="F86">
            <v>4690799999.9959631</v>
          </cell>
          <cell r="H86">
            <v>0</v>
          </cell>
        </row>
        <row r="87">
          <cell r="F87">
            <v>3384900000.000001</v>
          </cell>
          <cell r="H87">
            <v>0</v>
          </cell>
        </row>
        <row r="88">
          <cell r="F88">
            <v>3094686031.43999</v>
          </cell>
          <cell r="H88">
            <v>0</v>
          </cell>
        </row>
        <row r="89">
          <cell r="F89">
            <v>3552215075</v>
          </cell>
          <cell r="H89">
            <v>0</v>
          </cell>
        </row>
        <row r="90">
          <cell r="F90">
            <v>3282674203.02</v>
          </cell>
          <cell r="H90">
            <v>0</v>
          </cell>
        </row>
        <row r="91">
          <cell r="F91">
            <v>4138988105</v>
          </cell>
          <cell r="H91">
            <v>0</v>
          </cell>
        </row>
        <row r="92">
          <cell r="F92">
            <v>4578054306.8800001</v>
          </cell>
          <cell r="H92">
            <v>0</v>
          </cell>
        </row>
        <row r="93">
          <cell r="F93">
            <v>2718513365.8600001</v>
          </cell>
          <cell r="H93">
            <v>0</v>
          </cell>
        </row>
        <row r="94">
          <cell r="F94">
            <v>2824865218.4399996</v>
          </cell>
          <cell r="H94">
            <v>0</v>
          </cell>
        </row>
        <row r="95">
          <cell r="F95">
            <v>3945850744</v>
          </cell>
          <cell r="H95">
            <v>0</v>
          </cell>
        </row>
        <row r="96">
          <cell r="F96">
            <v>2790615576</v>
          </cell>
          <cell r="H96">
            <v>0</v>
          </cell>
        </row>
        <row r="97">
          <cell r="F97">
            <v>3227162022</v>
          </cell>
          <cell r="H97">
            <v>0</v>
          </cell>
        </row>
        <row r="98">
          <cell r="F98">
            <v>3399398031</v>
          </cell>
          <cell r="H98">
            <v>0</v>
          </cell>
        </row>
        <row r="99">
          <cell r="F99">
            <v>3438719012.04</v>
          </cell>
        </row>
        <row r="100">
          <cell r="F100">
            <v>2827342327.8000002</v>
          </cell>
          <cell r="H100">
            <v>0</v>
          </cell>
        </row>
        <row r="101">
          <cell r="F101">
            <v>4246452193</v>
          </cell>
          <cell r="H101">
            <v>0</v>
          </cell>
        </row>
        <row r="102">
          <cell r="F102">
            <v>1951317368</v>
          </cell>
          <cell r="H102">
            <v>0</v>
          </cell>
        </row>
        <row r="103">
          <cell r="F103">
            <v>1299723224</v>
          </cell>
          <cell r="H103">
            <v>0</v>
          </cell>
        </row>
        <row r="104">
          <cell r="F104">
            <v>971934797</v>
          </cell>
          <cell r="H104">
            <v>0</v>
          </cell>
        </row>
        <row r="105">
          <cell r="F105">
            <v>305552179</v>
          </cell>
          <cell r="H105">
            <v>0</v>
          </cell>
        </row>
        <row r="106">
          <cell r="F106">
            <v>544097087</v>
          </cell>
          <cell r="H106">
            <v>0</v>
          </cell>
        </row>
        <row r="107">
          <cell r="F107">
            <v>305936497</v>
          </cell>
          <cell r="H107">
            <v>0</v>
          </cell>
        </row>
        <row r="108">
          <cell r="F108">
            <v>291663564</v>
          </cell>
          <cell r="H108">
            <v>0</v>
          </cell>
        </row>
        <row r="109">
          <cell r="F109">
            <v>222440942</v>
          </cell>
          <cell r="H109">
            <v>0</v>
          </cell>
        </row>
        <row r="110">
          <cell r="F110">
            <v>369896954</v>
          </cell>
          <cell r="H110">
            <v>0</v>
          </cell>
        </row>
        <row r="111">
          <cell r="F111">
            <v>1214498163</v>
          </cell>
          <cell r="H111">
            <v>0</v>
          </cell>
        </row>
        <row r="112">
          <cell r="F112">
            <v>308361458</v>
          </cell>
          <cell r="H112">
            <v>0</v>
          </cell>
        </row>
        <row r="113">
          <cell r="F113">
            <v>388182714</v>
          </cell>
          <cell r="H113">
            <v>0</v>
          </cell>
        </row>
        <row r="114">
          <cell r="F114">
            <v>395305670</v>
          </cell>
          <cell r="H114">
            <v>0</v>
          </cell>
        </row>
        <row r="115">
          <cell r="F115">
            <v>1295007520</v>
          </cell>
          <cell r="H115">
            <v>0</v>
          </cell>
        </row>
        <row r="116">
          <cell r="F116">
            <v>1068667400</v>
          </cell>
          <cell r="H116">
            <v>0</v>
          </cell>
        </row>
        <row r="117">
          <cell r="F117">
            <v>381588166</v>
          </cell>
          <cell r="H117">
            <v>0</v>
          </cell>
        </row>
        <row r="118">
          <cell r="F118">
            <v>511808738</v>
          </cell>
          <cell r="H118">
            <v>0</v>
          </cell>
        </row>
        <row r="119">
          <cell r="F119">
            <v>742895394</v>
          </cell>
          <cell r="H119">
            <v>0</v>
          </cell>
        </row>
        <row r="120">
          <cell r="F120">
            <v>830842800</v>
          </cell>
          <cell r="H120">
            <v>0</v>
          </cell>
        </row>
        <row r="121">
          <cell r="F121">
            <v>847596800</v>
          </cell>
          <cell r="H121">
            <v>0</v>
          </cell>
        </row>
        <row r="122">
          <cell r="F122">
            <v>465873282</v>
          </cell>
          <cell r="H122">
            <v>0</v>
          </cell>
        </row>
        <row r="123">
          <cell r="F123">
            <v>297116710</v>
          </cell>
          <cell r="H123">
            <v>0</v>
          </cell>
        </row>
        <row r="124">
          <cell r="F124">
            <v>951381400</v>
          </cell>
          <cell r="H124">
            <v>0</v>
          </cell>
        </row>
        <row r="125">
          <cell r="F125">
            <v>926649370</v>
          </cell>
          <cell r="H125">
            <v>0</v>
          </cell>
        </row>
        <row r="126">
          <cell r="F126">
            <v>407293700</v>
          </cell>
          <cell r="H126">
            <v>0</v>
          </cell>
        </row>
        <row r="127">
          <cell r="F127">
            <v>332024173</v>
          </cell>
          <cell r="H127">
            <v>0</v>
          </cell>
        </row>
        <row r="128">
          <cell r="F128">
            <v>606783496</v>
          </cell>
          <cell r="H128">
            <v>0</v>
          </cell>
        </row>
        <row r="129">
          <cell r="F129">
            <v>321200000</v>
          </cell>
          <cell r="H129">
            <v>0</v>
          </cell>
        </row>
        <row r="130">
          <cell r="F130">
            <v>502708800</v>
          </cell>
          <cell r="H130">
            <v>0</v>
          </cell>
        </row>
        <row r="131">
          <cell r="F131">
            <v>176735528</v>
          </cell>
          <cell r="H131">
            <v>0</v>
          </cell>
        </row>
        <row r="132">
          <cell r="F132">
            <v>419123898</v>
          </cell>
          <cell r="H132">
            <v>0</v>
          </cell>
        </row>
        <row r="133">
          <cell r="F133">
            <v>589654094</v>
          </cell>
          <cell r="H133">
            <v>0</v>
          </cell>
        </row>
        <row r="134">
          <cell r="F134">
            <v>119405764</v>
          </cell>
          <cell r="H134">
            <v>0</v>
          </cell>
        </row>
        <row r="135">
          <cell r="F135">
            <v>410866786</v>
          </cell>
          <cell r="H135">
            <v>0</v>
          </cell>
        </row>
        <row r="136">
          <cell r="F136">
            <v>92088568</v>
          </cell>
          <cell r="H136">
            <v>0</v>
          </cell>
        </row>
        <row r="137">
          <cell r="F137">
            <v>12697295073.524715</v>
          </cell>
          <cell r="H137">
            <v>962315929</v>
          </cell>
        </row>
        <row r="138">
          <cell r="F138">
            <v>18043750710.969116</v>
          </cell>
          <cell r="H138">
            <v>2161428316</v>
          </cell>
        </row>
        <row r="139">
          <cell r="F139">
            <v>34597184162.019592</v>
          </cell>
          <cell r="H139">
            <v>79436517</v>
          </cell>
        </row>
        <row r="140">
          <cell r="F140">
            <v>15197952188.093084</v>
          </cell>
          <cell r="H140">
            <v>759960213</v>
          </cell>
        </row>
        <row r="141">
          <cell r="F141">
            <v>16005707861.642851</v>
          </cell>
          <cell r="H141">
            <v>0</v>
          </cell>
        </row>
        <row r="142">
          <cell r="F142">
            <v>13104283891.698706</v>
          </cell>
          <cell r="H142">
            <v>0</v>
          </cell>
        </row>
        <row r="143">
          <cell r="F143">
            <v>13944177593.253252</v>
          </cell>
          <cell r="H143">
            <v>0</v>
          </cell>
        </row>
        <row r="144">
          <cell r="F144">
            <v>14684878787.818535</v>
          </cell>
          <cell r="H144">
            <v>0</v>
          </cell>
        </row>
        <row r="145">
          <cell r="F145">
            <v>14714605772.7274</v>
          </cell>
        </row>
        <row r="146">
          <cell r="F146">
            <v>25205402246.43615</v>
          </cell>
          <cell r="H146">
            <v>0</v>
          </cell>
        </row>
        <row r="147">
          <cell r="F147">
            <v>22045628739.912621</v>
          </cell>
          <cell r="H147">
            <v>0</v>
          </cell>
        </row>
        <row r="148">
          <cell r="F148">
            <v>25745658569.929287</v>
          </cell>
          <cell r="H148">
            <v>155164893</v>
          </cell>
        </row>
        <row r="149">
          <cell r="F149">
            <v>19097905646.256985</v>
          </cell>
          <cell r="H149">
            <v>0</v>
          </cell>
        </row>
        <row r="150">
          <cell r="F150">
            <v>9644145971.5316792</v>
          </cell>
          <cell r="H150">
            <v>868309745</v>
          </cell>
        </row>
        <row r="151">
          <cell r="F151">
            <v>4876625895.8109112</v>
          </cell>
          <cell r="H151">
            <v>43892570</v>
          </cell>
        </row>
        <row r="152">
          <cell r="F152">
            <v>21384209806.35593</v>
          </cell>
          <cell r="H152">
            <v>0</v>
          </cell>
        </row>
        <row r="153">
          <cell r="F153">
            <v>16475567102.490932</v>
          </cell>
          <cell r="H153">
            <v>0</v>
          </cell>
        </row>
        <row r="154">
          <cell r="F154">
            <v>18117038143.377491</v>
          </cell>
          <cell r="H154">
            <v>0</v>
          </cell>
        </row>
        <row r="155">
          <cell r="F155">
            <v>7414031888.2715397</v>
          </cell>
          <cell r="H155">
            <v>0</v>
          </cell>
        </row>
        <row r="156">
          <cell r="F156">
            <v>32860661934.674572</v>
          </cell>
          <cell r="H156">
            <v>0</v>
          </cell>
        </row>
        <row r="157">
          <cell r="F157">
            <v>9592277824.3986244</v>
          </cell>
          <cell r="H157">
            <v>0</v>
          </cell>
        </row>
        <row r="158">
          <cell r="F158">
            <v>17671768040.280331</v>
          </cell>
          <cell r="H158">
            <v>0</v>
          </cell>
        </row>
        <row r="159">
          <cell r="F159">
            <v>8578807235.0019855</v>
          </cell>
          <cell r="H159">
            <v>0</v>
          </cell>
        </row>
        <row r="160">
          <cell r="F160">
            <v>11050418314.080364</v>
          </cell>
          <cell r="H160">
            <v>344436876</v>
          </cell>
        </row>
        <row r="161">
          <cell r="F161">
            <v>19770322482.969559</v>
          </cell>
          <cell r="H161">
            <v>0</v>
          </cell>
        </row>
        <row r="162">
          <cell r="F162">
            <v>12928775642.999866</v>
          </cell>
          <cell r="H162">
            <v>1442454183</v>
          </cell>
        </row>
        <row r="163">
          <cell r="F163">
            <v>4396288368.5804043</v>
          </cell>
          <cell r="H163">
            <v>0</v>
          </cell>
        </row>
        <row r="164">
          <cell r="F164">
            <v>8986538022.7876873</v>
          </cell>
          <cell r="H164">
            <v>0</v>
          </cell>
        </row>
        <row r="165">
          <cell r="F165">
            <v>14608208707.369823</v>
          </cell>
          <cell r="H165">
            <v>537301728</v>
          </cell>
        </row>
        <row r="166">
          <cell r="F166">
            <v>15307954780.018826</v>
          </cell>
          <cell r="H166">
            <v>0</v>
          </cell>
        </row>
        <row r="167">
          <cell r="F167">
            <v>29527537542.394905</v>
          </cell>
          <cell r="H167">
            <v>0</v>
          </cell>
        </row>
        <row r="168">
          <cell r="F168">
            <v>9433419416.1229935</v>
          </cell>
          <cell r="H168">
            <v>69457488</v>
          </cell>
        </row>
        <row r="169">
          <cell r="F169">
            <v>10793067143.906958</v>
          </cell>
          <cell r="H169">
            <v>0</v>
          </cell>
        </row>
        <row r="170">
          <cell r="F170">
            <v>18438020675.605015</v>
          </cell>
          <cell r="H170">
            <v>340786857</v>
          </cell>
        </row>
        <row r="171">
          <cell r="F171">
            <v>19934561879.969608</v>
          </cell>
          <cell r="H171">
            <v>0</v>
          </cell>
        </row>
        <row r="172">
          <cell r="F172">
            <v>20129751497.895615</v>
          </cell>
          <cell r="H172">
            <v>191521849</v>
          </cell>
        </row>
        <row r="173">
          <cell r="F173">
            <v>6060666435.4926834</v>
          </cell>
          <cell r="H173">
            <v>0</v>
          </cell>
        </row>
        <row r="174">
          <cell r="F174">
            <v>12021470743.157471</v>
          </cell>
          <cell r="H174">
            <v>0</v>
          </cell>
        </row>
        <row r="175">
          <cell r="F175">
            <v>13416522943.824057</v>
          </cell>
          <cell r="H175">
            <v>0</v>
          </cell>
        </row>
        <row r="176">
          <cell r="F176">
            <v>16611069978.945946</v>
          </cell>
          <cell r="H176">
            <v>0</v>
          </cell>
        </row>
        <row r="177">
          <cell r="F177">
            <v>20968393803.60638</v>
          </cell>
          <cell r="H177">
            <v>0</v>
          </cell>
        </row>
        <row r="178">
          <cell r="F178">
            <v>7057767594.3024464</v>
          </cell>
          <cell r="H178">
            <v>0</v>
          </cell>
        </row>
        <row r="179">
          <cell r="F179">
            <v>12896348118.99202</v>
          </cell>
          <cell r="H179">
            <v>0</v>
          </cell>
        </row>
        <row r="180">
          <cell r="F180">
            <v>13816385614.057743</v>
          </cell>
          <cell r="H180">
            <v>0</v>
          </cell>
        </row>
        <row r="181">
          <cell r="F181">
            <v>24022141150.779198</v>
          </cell>
          <cell r="H181">
            <v>0</v>
          </cell>
        </row>
        <row r="182">
          <cell r="F182">
            <v>11075288785.387604</v>
          </cell>
          <cell r="H182">
            <v>0</v>
          </cell>
        </row>
        <row r="183">
          <cell r="F183">
            <v>17464288796.317745</v>
          </cell>
          <cell r="H183">
            <v>0</v>
          </cell>
        </row>
        <row r="184">
          <cell r="F184">
            <v>31621913102.46003</v>
          </cell>
          <cell r="H184">
            <v>28000000</v>
          </cell>
        </row>
        <row r="185">
          <cell r="F185">
            <v>19049644351.975983</v>
          </cell>
          <cell r="H185">
            <v>0</v>
          </cell>
        </row>
        <row r="186">
          <cell r="F186">
            <v>14721877190.66523</v>
          </cell>
          <cell r="H186">
            <v>0</v>
          </cell>
        </row>
        <row r="187">
          <cell r="F187">
            <v>13712423335.512924</v>
          </cell>
          <cell r="H187">
            <v>0</v>
          </cell>
        </row>
        <row r="188">
          <cell r="F188">
            <v>9721250207.0563374</v>
          </cell>
          <cell r="H188">
            <v>266430339</v>
          </cell>
        </row>
        <row r="189">
          <cell r="F189">
            <v>22312790487.440903</v>
          </cell>
          <cell r="H189">
            <v>0</v>
          </cell>
        </row>
        <row r="190">
          <cell r="F190">
            <v>28283019341.56916</v>
          </cell>
          <cell r="H190">
            <v>0</v>
          </cell>
        </row>
        <row r="191">
          <cell r="F191">
            <v>16751453625.908869</v>
          </cell>
          <cell r="H191">
            <v>1618567838</v>
          </cell>
        </row>
        <row r="192">
          <cell r="F192">
            <v>13885558618.361088</v>
          </cell>
          <cell r="H192">
            <v>0</v>
          </cell>
        </row>
        <row r="193">
          <cell r="F193">
            <v>9901821437.8144493</v>
          </cell>
          <cell r="H193">
            <v>39332357</v>
          </cell>
        </row>
        <row r="194">
          <cell r="F194">
            <v>8485239348.2688951</v>
          </cell>
          <cell r="H194">
            <v>654605883</v>
          </cell>
        </row>
        <row r="195">
          <cell r="F195">
            <v>16718700711.810186</v>
          </cell>
          <cell r="H195">
            <v>867033561</v>
          </cell>
        </row>
        <row r="196">
          <cell r="F196">
            <v>10693644319.832329</v>
          </cell>
          <cell r="H196">
            <v>0</v>
          </cell>
        </row>
        <row r="197">
          <cell r="F197">
            <v>11996387807.907831</v>
          </cell>
          <cell r="H197">
            <v>0</v>
          </cell>
        </row>
        <row r="198">
          <cell r="F198">
            <v>6092091979.9588366</v>
          </cell>
          <cell r="H198">
            <v>999647924</v>
          </cell>
        </row>
        <row r="199">
          <cell r="F199">
            <v>7782716826.9929037</v>
          </cell>
          <cell r="H199">
            <v>0</v>
          </cell>
        </row>
        <row r="200">
          <cell r="F200">
            <v>12200727908.795893</v>
          </cell>
          <cell r="H200">
            <v>0</v>
          </cell>
        </row>
        <row r="201">
          <cell r="F201">
            <v>18288582167.670116</v>
          </cell>
          <cell r="H201">
            <v>0</v>
          </cell>
        </row>
        <row r="202">
          <cell r="F202">
            <v>8891391674.8994694</v>
          </cell>
          <cell r="H202">
            <v>0</v>
          </cell>
        </row>
        <row r="203">
          <cell r="F203">
            <v>14046838796.297482</v>
          </cell>
          <cell r="H203">
            <v>0</v>
          </cell>
        </row>
        <row r="204">
          <cell r="F204">
            <v>13629767358.786501</v>
          </cell>
          <cell r="H204">
            <v>274994097</v>
          </cell>
        </row>
        <row r="205">
          <cell r="F205">
            <v>9027822442.024559</v>
          </cell>
          <cell r="H205">
            <v>0</v>
          </cell>
        </row>
        <row r="206">
          <cell r="F206">
            <v>9629585651.6512527</v>
          </cell>
          <cell r="H206">
            <v>716746248</v>
          </cell>
        </row>
        <row r="207">
          <cell r="F207">
            <v>15955685104.553732</v>
          </cell>
          <cell r="H207">
            <v>0</v>
          </cell>
        </row>
        <row r="208">
          <cell r="F208">
            <v>7486293966.4860477</v>
          </cell>
          <cell r="H208">
            <v>197946649</v>
          </cell>
        </row>
        <row r="209">
          <cell r="F209">
            <v>11624822885.902298</v>
          </cell>
          <cell r="H209">
            <v>0</v>
          </cell>
        </row>
        <row r="210">
          <cell r="F210">
            <v>8858201589.0890484</v>
          </cell>
          <cell r="H210">
            <v>0</v>
          </cell>
        </row>
        <row r="211">
          <cell r="F211">
            <v>5531978286.2948847</v>
          </cell>
          <cell r="H211">
            <v>77896678</v>
          </cell>
        </row>
        <row r="212">
          <cell r="F212">
            <v>10839184423.99818</v>
          </cell>
          <cell r="H212">
            <v>0</v>
          </cell>
        </row>
        <row r="213">
          <cell r="F213">
            <v>12403334041.572495</v>
          </cell>
          <cell r="H213">
            <v>1008166648</v>
          </cell>
        </row>
        <row r="214">
          <cell r="F214">
            <v>9779957709.3296242</v>
          </cell>
          <cell r="H214">
            <v>0</v>
          </cell>
        </row>
        <row r="215">
          <cell r="F215">
            <v>7516872502.166441</v>
          </cell>
          <cell r="H215">
            <v>0</v>
          </cell>
        </row>
        <row r="216">
          <cell r="F216">
            <v>2506766339.6389823</v>
          </cell>
          <cell r="H216">
            <v>0</v>
          </cell>
        </row>
        <row r="217">
          <cell r="F217">
            <v>10166910031.191587</v>
          </cell>
          <cell r="H217">
            <v>0</v>
          </cell>
        </row>
        <row r="218">
          <cell r="F218">
            <v>9131913659.8779068</v>
          </cell>
          <cell r="H218">
            <v>66200550</v>
          </cell>
        </row>
        <row r="219">
          <cell r="F219">
            <v>8000040258.6519623</v>
          </cell>
          <cell r="H219">
            <v>0</v>
          </cell>
        </row>
        <row r="220">
          <cell r="F220">
            <v>7721207953.2294559</v>
          </cell>
          <cell r="H220">
            <v>109847393</v>
          </cell>
        </row>
        <row r="221">
          <cell r="F221">
            <v>6081873348.0020685</v>
          </cell>
          <cell r="H221">
            <v>284654512</v>
          </cell>
        </row>
        <row r="222">
          <cell r="F222">
            <v>10008378176.796219</v>
          </cell>
          <cell r="H222">
            <v>0</v>
          </cell>
        </row>
        <row r="223">
          <cell r="F223">
            <v>9806687298.8236885</v>
          </cell>
          <cell r="H223">
            <v>269060660</v>
          </cell>
        </row>
        <row r="224">
          <cell r="F224">
            <v>9418973352.1156998</v>
          </cell>
          <cell r="H224">
            <v>0</v>
          </cell>
        </row>
        <row r="225">
          <cell r="F225">
            <v>3879817566.3227525</v>
          </cell>
          <cell r="H225">
            <v>1143425904</v>
          </cell>
        </row>
        <row r="226">
          <cell r="F226">
            <v>8319914626.4090376</v>
          </cell>
          <cell r="H226">
            <v>0</v>
          </cell>
        </row>
        <row r="227">
          <cell r="F227">
            <v>9758391871.1654968</v>
          </cell>
          <cell r="H227">
            <v>0</v>
          </cell>
        </row>
        <row r="228">
          <cell r="F228">
            <v>11730494032.205168</v>
          </cell>
          <cell r="H228">
            <v>0</v>
          </cell>
        </row>
        <row r="229">
          <cell r="F229">
            <v>9600717172.8794498</v>
          </cell>
          <cell r="H229">
            <v>0</v>
          </cell>
        </row>
        <row r="230">
          <cell r="F230">
            <v>5092605978.3657646</v>
          </cell>
          <cell r="H230">
            <v>0</v>
          </cell>
        </row>
        <row r="231">
          <cell r="F231">
            <v>11637112929.630245</v>
          </cell>
          <cell r="H231">
            <v>4771574009</v>
          </cell>
        </row>
        <row r="232">
          <cell r="F232">
            <v>9303232463.7460899</v>
          </cell>
          <cell r="H232">
            <v>1202279833</v>
          </cell>
        </row>
        <row r="233">
          <cell r="F233">
            <v>10990210405.218327</v>
          </cell>
          <cell r="H233">
            <v>0</v>
          </cell>
        </row>
        <row r="234">
          <cell r="F234">
            <v>12758064658.881582</v>
          </cell>
          <cell r="H234">
            <v>2438261300</v>
          </cell>
        </row>
        <row r="235">
          <cell r="F235">
            <v>8033497819.1099358</v>
          </cell>
          <cell r="H235">
            <v>0</v>
          </cell>
        </row>
        <row r="236">
          <cell r="F236">
            <v>11262303743.251011</v>
          </cell>
          <cell r="H236">
            <v>1995674305</v>
          </cell>
        </row>
        <row r="237">
          <cell r="F237">
            <v>6630378200.9072733</v>
          </cell>
          <cell r="H237">
            <v>0</v>
          </cell>
        </row>
        <row r="238">
          <cell r="F238">
            <v>7885091023.5063152</v>
          </cell>
          <cell r="H238">
            <v>0</v>
          </cell>
        </row>
        <row r="239">
          <cell r="F239">
            <v>4853178845.8333511</v>
          </cell>
          <cell r="H239">
            <v>0</v>
          </cell>
        </row>
        <row r="240">
          <cell r="F240">
            <v>9640504813.6753902</v>
          </cell>
          <cell r="H240">
            <v>0</v>
          </cell>
        </row>
        <row r="241">
          <cell r="F241">
            <v>6664416199.2704582</v>
          </cell>
          <cell r="H241">
            <v>0</v>
          </cell>
        </row>
        <row r="242">
          <cell r="F242">
            <v>12587053719.409334</v>
          </cell>
          <cell r="H242">
            <v>0</v>
          </cell>
        </row>
        <row r="243">
          <cell r="F243">
            <v>9479870075.9907951</v>
          </cell>
          <cell r="H243">
            <v>72064016</v>
          </cell>
        </row>
        <row r="244">
          <cell r="F244">
            <v>12119282970.389202</v>
          </cell>
          <cell r="H244">
            <v>0</v>
          </cell>
        </row>
        <row r="245">
          <cell r="F245">
            <v>5146272100.9705572</v>
          </cell>
          <cell r="H245">
            <v>0</v>
          </cell>
        </row>
        <row r="246">
          <cell r="F246">
            <v>10344169971.422729</v>
          </cell>
          <cell r="H246">
            <v>0</v>
          </cell>
        </row>
        <row r="247">
          <cell r="F247">
            <v>6777148168.9513168</v>
          </cell>
          <cell r="H247">
            <v>0</v>
          </cell>
        </row>
        <row r="248">
          <cell r="F248">
            <v>9806581942.9146824</v>
          </cell>
          <cell r="H248">
            <v>263340684</v>
          </cell>
        </row>
        <row r="249">
          <cell r="F249">
            <v>6677793790.9107428</v>
          </cell>
          <cell r="H249">
            <v>0</v>
          </cell>
        </row>
        <row r="250">
          <cell r="F250">
            <v>10692694726.913408</v>
          </cell>
          <cell r="H250">
            <v>0</v>
          </cell>
        </row>
        <row r="251">
          <cell r="F251">
            <v>6655980526.618701</v>
          </cell>
          <cell r="H251">
            <v>0</v>
          </cell>
        </row>
        <row r="252">
          <cell r="F252">
            <v>4636785854.9543762</v>
          </cell>
          <cell r="H252">
            <v>359163514</v>
          </cell>
        </row>
        <row r="253">
          <cell r="F253">
            <v>4709092157.5154066</v>
          </cell>
          <cell r="H253">
            <v>75119563</v>
          </cell>
        </row>
        <row r="254">
          <cell r="F254">
            <v>4788455976.4377193</v>
          </cell>
          <cell r="H254">
            <v>0</v>
          </cell>
        </row>
        <row r="255">
          <cell r="F255">
            <v>7626952747.6771297</v>
          </cell>
          <cell r="H255">
            <v>0</v>
          </cell>
        </row>
        <row r="256">
          <cell r="F256">
            <v>7404830360.7984066</v>
          </cell>
          <cell r="H256">
            <v>0</v>
          </cell>
        </row>
        <row r="257">
          <cell r="F257">
            <v>5789523910.7710524</v>
          </cell>
          <cell r="H257">
            <v>0</v>
          </cell>
        </row>
        <row r="258">
          <cell r="F258">
            <v>4888288423.4124832</v>
          </cell>
          <cell r="H258">
            <v>0</v>
          </cell>
        </row>
        <row r="259">
          <cell r="F259">
            <v>4084484136.8780365</v>
          </cell>
          <cell r="H259">
            <v>0</v>
          </cell>
        </row>
        <row r="260">
          <cell r="F260">
            <v>7761027189.5380497</v>
          </cell>
          <cell r="H260">
            <v>0</v>
          </cell>
        </row>
        <row r="261">
          <cell r="F261">
            <v>7076005031.7857113</v>
          </cell>
        </row>
        <row r="262">
          <cell r="F262">
            <v>1269578088.8479004</v>
          </cell>
          <cell r="H262">
            <v>191651927</v>
          </cell>
        </row>
        <row r="263">
          <cell r="F263">
            <v>5026153529.6942034</v>
          </cell>
          <cell r="H263">
            <v>190414546</v>
          </cell>
        </row>
        <row r="264">
          <cell r="F264">
            <v>4273889124.8178101</v>
          </cell>
          <cell r="H264">
            <v>0</v>
          </cell>
        </row>
        <row r="265">
          <cell r="F265">
            <v>6175963233.5779276</v>
          </cell>
          <cell r="H265">
            <v>0</v>
          </cell>
        </row>
        <row r="266">
          <cell r="F266">
            <v>4447066730.6916409</v>
          </cell>
          <cell r="H266">
            <v>0</v>
          </cell>
        </row>
        <row r="267">
          <cell r="F267">
            <v>6304732913.4468393</v>
          </cell>
          <cell r="H267">
            <v>1186453336</v>
          </cell>
        </row>
        <row r="268">
          <cell r="F268">
            <v>2609358346.2961574</v>
          </cell>
          <cell r="H268">
            <v>0</v>
          </cell>
        </row>
        <row r="269">
          <cell r="F269">
            <v>4549691439.8055077</v>
          </cell>
          <cell r="H269">
            <v>0</v>
          </cell>
        </row>
        <row r="270">
          <cell r="F270">
            <v>1280277429.5727458</v>
          </cell>
          <cell r="H270">
            <v>163505140</v>
          </cell>
        </row>
        <row r="271">
          <cell r="F271">
            <v>2128668218.844512</v>
          </cell>
          <cell r="H271">
            <v>0</v>
          </cell>
        </row>
        <row r="272">
          <cell r="F272">
            <v>4282453714.4598947</v>
          </cell>
          <cell r="H272">
            <v>0</v>
          </cell>
        </row>
        <row r="273">
          <cell r="F273">
            <v>3564480739.2137432</v>
          </cell>
          <cell r="H273">
            <v>0</v>
          </cell>
        </row>
        <row r="274">
          <cell r="F274">
            <v>5716009491.9999714</v>
          </cell>
          <cell r="H274">
            <v>723826341.00002861</v>
          </cell>
        </row>
        <row r="275">
          <cell r="F275">
            <v>2549711223.9999804</v>
          </cell>
          <cell r="H275">
            <v>0</v>
          </cell>
        </row>
        <row r="276">
          <cell r="F276">
            <v>2857433991.9976654</v>
          </cell>
          <cell r="H276">
            <v>0</v>
          </cell>
        </row>
        <row r="277">
          <cell r="F277">
            <v>1095696651.9976687</v>
          </cell>
          <cell r="H277">
            <v>0</v>
          </cell>
        </row>
        <row r="278">
          <cell r="F278">
            <v>3810875619.9999804</v>
          </cell>
          <cell r="H278">
            <v>0</v>
          </cell>
        </row>
        <row r="279">
          <cell r="F279">
            <v>1986548595.9999833</v>
          </cell>
          <cell r="H279">
            <v>0</v>
          </cell>
        </row>
        <row r="280">
          <cell r="F280">
            <v>2785175941.7296658</v>
          </cell>
          <cell r="H280">
            <v>0</v>
          </cell>
        </row>
        <row r="281">
          <cell r="F281">
            <v>3279449369.9999762</v>
          </cell>
          <cell r="H281">
            <v>110085214</v>
          </cell>
        </row>
        <row r="282">
          <cell r="F282">
            <v>2863943703.6653662</v>
          </cell>
          <cell r="H282">
            <v>152041145</v>
          </cell>
        </row>
        <row r="283">
          <cell r="F283">
            <v>2923988319.9976683</v>
          </cell>
          <cell r="H283">
            <v>0</v>
          </cell>
        </row>
        <row r="284">
          <cell r="F284">
            <v>2984136795.9977498</v>
          </cell>
          <cell r="H284">
            <v>640141660</v>
          </cell>
        </row>
        <row r="285">
          <cell r="F285">
            <v>2934170451.9999719</v>
          </cell>
          <cell r="H285">
            <v>0</v>
          </cell>
        </row>
        <row r="286">
          <cell r="F286">
            <v>4356379381.9918537</v>
          </cell>
        </row>
        <row r="287">
          <cell r="F287">
            <v>3776601171.9963813</v>
          </cell>
          <cell r="H287">
            <v>0</v>
          </cell>
        </row>
        <row r="288">
          <cell r="F288">
            <v>2147549643.9969382</v>
          </cell>
          <cell r="H288">
            <v>0</v>
          </cell>
        </row>
        <row r="289">
          <cell r="F289">
            <v>4203333266.472508</v>
          </cell>
          <cell r="H289">
            <v>0</v>
          </cell>
        </row>
        <row r="290">
          <cell r="F290">
            <v>1420337715.9972031</v>
          </cell>
          <cell r="H290">
            <v>159762773</v>
          </cell>
        </row>
        <row r="291">
          <cell r="F291">
            <v>5036191287.9918385</v>
          </cell>
          <cell r="H291">
            <v>0</v>
          </cell>
        </row>
        <row r="292">
          <cell r="F292">
            <v>1357814016.3783898</v>
          </cell>
          <cell r="H292">
            <v>0</v>
          </cell>
        </row>
        <row r="293">
          <cell r="F293">
            <v>3359039452161.2026</v>
          </cell>
          <cell r="H293">
            <v>42850681764.000031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nnex 4"/>
      <sheetName val="Annex3"/>
      <sheetName val="Jabo"/>
    </sheetNames>
    <sheetDataSet>
      <sheetData sheetId="0">
        <row r="2">
          <cell r="C2" t="str">
            <v>Allocation for FY 2016/17</v>
          </cell>
          <cell r="D2" t="str">
            <v>Submissions from Accounting Officers in proper format</v>
          </cell>
        </row>
        <row r="3">
          <cell r="C3">
            <v>3595098621.5226812</v>
          </cell>
          <cell r="D3">
            <v>16563753638</v>
          </cell>
        </row>
        <row r="4">
          <cell r="C4">
            <v>84806712</v>
          </cell>
          <cell r="D4">
            <v>295920000</v>
          </cell>
        </row>
        <row r="5">
          <cell r="C5">
            <v>121602559</v>
          </cell>
          <cell r="D5">
            <v>781868335</v>
          </cell>
        </row>
        <row r="6">
          <cell r="C6">
            <v>66416064</v>
          </cell>
          <cell r="D6">
            <v>475723599</v>
          </cell>
        </row>
        <row r="7">
          <cell r="C7">
            <v>213939055</v>
          </cell>
          <cell r="D7">
            <v>160642304</v>
          </cell>
        </row>
        <row r="8">
          <cell r="C8">
            <v>656761858.20635498</v>
          </cell>
          <cell r="D8">
            <v>752989603</v>
          </cell>
        </row>
        <row r="9">
          <cell r="D9">
            <v>243057153</v>
          </cell>
        </row>
        <row r="10">
          <cell r="C10">
            <v>2831606754.0689063</v>
          </cell>
          <cell r="D10">
            <v>4347304652</v>
          </cell>
        </row>
        <row r="11">
          <cell r="C11">
            <v>20902083</v>
          </cell>
          <cell r="D11">
            <v>64640090</v>
          </cell>
        </row>
        <row r="12">
          <cell r="C12">
            <v>314793017.4999966</v>
          </cell>
          <cell r="D12">
            <v>258468135</v>
          </cell>
        </row>
        <row r="13">
          <cell r="C13">
            <v>94742956</v>
          </cell>
          <cell r="D13">
            <v>314597347</v>
          </cell>
        </row>
        <row r="14">
          <cell r="C14">
            <v>84789993</v>
          </cell>
          <cell r="D14">
            <v>106368042</v>
          </cell>
        </row>
        <row r="15">
          <cell r="C15">
            <v>8410114347.1358995</v>
          </cell>
          <cell r="D15">
            <v>41585594280</v>
          </cell>
        </row>
        <row r="16">
          <cell r="D16">
            <v>93354429</v>
          </cell>
        </row>
        <row r="17">
          <cell r="C17">
            <v>1348479572.4206843</v>
          </cell>
          <cell r="D17">
            <v>3203984986</v>
          </cell>
        </row>
        <row r="18">
          <cell r="C18">
            <v>510936110.92302871</v>
          </cell>
          <cell r="D18">
            <v>2244684800</v>
          </cell>
        </row>
        <row r="19">
          <cell r="C19">
            <v>126385551</v>
          </cell>
          <cell r="D19">
            <v>66259528</v>
          </cell>
        </row>
        <row r="20">
          <cell r="C20">
            <v>645504752.21686029</v>
          </cell>
          <cell r="D20">
            <v>1795796760</v>
          </cell>
        </row>
        <row r="21">
          <cell r="C21">
            <v>89221173</v>
          </cell>
          <cell r="D21">
            <v>766723037</v>
          </cell>
        </row>
        <row r="22">
          <cell r="D22">
            <v>14814138</v>
          </cell>
        </row>
        <row r="23">
          <cell r="C23">
            <v>1035797520.8890591</v>
          </cell>
          <cell r="D23">
            <v>2801628145</v>
          </cell>
        </row>
        <row r="24">
          <cell r="D24">
            <v>238325723</v>
          </cell>
        </row>
        <row r="25">
          <cell r="D25">
            <v>167025819</v>
          </cell>
        </row>
        <row r="26">
          <cell r="C26">
            <v>259618584.73263693</v>
          </cell>
          <cell r="D26">
            <v>403874077</v>
          </cell>
        </row>
        <row r="27">
          <cell r="D27">
            <v>522424829</v>
          </cell>
        </row>
        <row r="28">
          <cell r="D28">
            <v>111249207</v>
          </cell>
        </row>
        <row r="29">
          <cell r="C29">
            <v>254254824.73321408</v>
          </cell>
          <cell r="D29">
            <v>290041039</v>
          </cell>
        </row>
        <row r="30">
          <cell r="C30">
            <v>304416174.29230577</v>
          </cell>
          <cell r="D30">
            <v>617994661</v>
          </cell>
        </row>
        <row r="31">
          <cell r="D31">
            <v>14289223</v>
          </cell>
        </row>
        <row r="32">
          <cell r="C32">
            <v>133498344</v>
          </cell>
          <cell r="D32">
            <v>153907091</v>
          </cell>
        </row>
        <row r="33">
          <cell r="C33">
            <v>357513384.49397606</v>
          </cell>
          <cell r="D33">
            <v>778523760</v>
          </cell>
        </row>
        <row r="34">
          <cell r="C34">
            <v>128743376</v>
          </cell>
          <cell r="D34">
            <v>249451042</v>
          </cell>
        </row>
        <row r="35">
          <cell r="C35">
            <v>134100216</v>
          </cell>
          <cell r="D35">
            <v>417415426</v>
          </cell>
        </row>
        <row r="36">
          <cell r="C36">
            <v>259919873.93765703</v>
          </cell>
          <cell r="D36">
            <v>311298503</v>
          </cell>
        </row>
        <row r="37">
          <cell r="C37">
            <v>130338646</v>
          </cell>
          <cell r="D37">
            <v>1184951228</v>
          </cell>
        </row>
        <row r="38">
          <cell r="C38">
            <v>303144351.12838566</v>
          </cell>
          <cell r="D38">
            <v>1212142098</v>
          </cell>
        </row>
        <row r="39">
          <cell r="C39">
            <v>281081902.80101812</v>
          </cell>
          <cell r="D39">
            <v>609949523</v>
          </cell>
        </row>
        <row r="40">
          <cell r="C40">
            <v>355151994.70952129</v>
          </cell>
          <cell r="D40">
            <v>766845438</v>
          </cell>
        </row>
        <row r="41">
          <cell r="C41">
            <v>161636002</v>
          </cell>
          <cell r="D41">
            <v>399168241</v>
          </cell>
        </row>
        <row r="42">
          <cell r="C42">
            <v>331942965.94728279</v>
          </cell>
          <cell r="D42">
            <v>1197520053</v>
          </cell>
        </row>
        <row r="43">
          <cell r="C43">
            <v>282774677.43125528</v>
          </cell>
          <cell r="D43">
            <v>429505798</v>
          </cell>
        </row>
        <row r="44">
          <cell r="C44">
            <v>136266253</v>
          </cell>
          <cell r="D44">
            <v>247511486</v>
          </cell>
        </row>
        <row r="45">
          <cell r="C45">
            <v>77501329</v>
          </cell>
          <cell r="D45">
            <v>60334681</v>
          </cell>
        </row>
        <row r="46">
          <cell r="C46">
            <v>230138095</v>
          </cell>
          <cell r="D46">
            <v>1092669521</v>
          </cell>
        </row>
        <row r="47">
          <cell r="C47">
            <v>297084458.13133395</v>
          </cell>
          <cell r="D47">
            <v>1105684779</v>
          </cell>
        </row>
        <row r="48">
          <cell r="C48">
            <v>263884701.74446613</v>
          </cell>
          <cell r="D48">
            <v>559664765</v>
          </cell>
        </row>
        <row r="49">
          <cell r="C49">
            <v>311501316.01590669</v>
          </cell>
          <cell r="D49">
            <v>696056107</v>
          </cell>
        </row>
        <row r="50">
          <cell r="C50">
            <v>295444007.72549319</v>
          </cell>
          <cell r="D50">
            <v>175057505</v>
          </cell>
        </row>
        <row r="51">
          <cell r="C51">
            <v>315611674.53238487</v>
          </cell>
          <cell r="D51">
            <v>420275092</v>
          </cell>
        </row>
        <row r="52">
          <cell r="C52">
            <v>349396548.91994256</v>
          </cell>
          <cell r="D52">
            <v>1048895243</v>
          </cell>
        </row>
        <row r="53">
          <cell r="C53">
            <v>86464479</v>
          </cell>
          <cell r="D53">
            <v>153618502</v>
          </cell>
        </row>
        <row r="54">
          <cell r="C54">
            <v>259198115.13721156</v>
          </cell>
          <cell r="D54">
            <v>186350467</v>
          </cell>
        </row>
        <row r="55">
          <cell r="C55">
            <v>67216249</v>
          </cell>
          <cell r="D55">
            <v>267586242</v>
          </cell>
        </row>
        <row r="56">
          <cell r="C56">
            <v>155269101</v>
          </cell>
          <cell r="D56">
            <v>252099092</v>
          </cell>
        </row>
        <row r="57">
          <cell r="C57">
            <v>327360513.4258464</v>
          </cell>
          <cell r="D57">
            <v>387709467</v>
          </cell>
        </row>
        <row r="58">
          <cell r="C58">
            <v>648204520.34334207</v>
          </cell>
          <cell r="D58">
            <v>1014690273</v>
          </cell>
        </row>
        <row r="59">
          <cell r="C59">
            <v>325152239.92805618</v>
          </cell>
          <cell r="D59">
            <v>1124446008</v>
          </cell>
        </row>
        <row r="60">
          <cell r="C60">
            <v>293270057.26808125</v>
          </cell>
          <cell r="D60">
            <v>650442723</v>
          </cell>
        </row>
        <row r="61">
          <cell r="C61">
            <v>22885698</v>
          </cell>
          <cell r="D61">
            <v>467135728</v>
          </cell>
        </row>
        <row r="62">
          <cell r="C62">
            <v>351976328.15418768</v>
          </cell>
          <cell r="D62">
            <v>1303193556</v>
          </cell>
        </row>
        <row r="63">
          <cell r="C63">
            <v>362915463.76926744</v>
          </cell>
          <cell r="D63">
            <v>1469257314</v>
          </cell>
        </row>
        <row r="64">
          <cell r="C64">
            <v>209352244</v>
          </cell>
          <cell r="D64">
            <v>470259892</v>
          </cell>
        </row>
        <row r="65">
          <cell r="C65">
            <v>17843592</v>
          </cell>
          <cell r="D65">
            <v>490616952</v>
          </cell>
        </row>
        <row r="66">
          <cell r="C66">
            <v>447563008.99615562</v>
          </cell>
          <cell r="D66">
            <v>1208609448</v>
          </cell>
        </row>
        <row r="67">
          <cell r="C67">
            <v>303033287.67834044</v>
          </cell>
          <cell r="D67">
            <v>1290374016</v>
          </cell>
        </row>
        <row r="68">
          <cell r="C68">
            <v>263615184.28626618</v>
          </cell>
          <cell r="D68">
            <v>869667114</v>
          </cell>
        </row>
        <row r="69">
          <cell r="D69">
            <v>2285870094</v>
          </cell>
        </row>
        <row r="70">
          <cell r="C70">
            <v>503260022.00504047</v>
          </cell>
          <cell r="D70">
            <v>2919634076</v>
          </cell>
        </row>
        <row r="71">
          <cell r="C71">
            <v>320325102.26036745</v>
          </cell>
          <cell r="D71">
            <v>665654247</v>
          </cell>
        </row>
        <row r="72">
          <cell r="C72">
            <v>264391992.65582424</v>
          </cell>
          <cell r="D72">
            <v>465551715</v>
          </cell>
        </row>
        <row r="73">
          <cell r="C73">
            <v>77115407</v>
          </cell>
          <cell r="D73">
            <v>32311674</v>
          </cell>
        </row>
        <row r="74">
          <cell r="C74">
            <v>261183230.91882786</v>
          </cell>
          <cell r="D74">
            <v>219548338</v>
          </cell>
        </row>
        <row r="75">
          <cell r="C75">
            <v>261796181.33379555</v>
          </cell>
          <cell r="D75">
            <v>803703425</v>
          </cell>
        </row>
        <row r="76">
          <cell r="C76">
            <v>568329655.10297465</v>
          </cell>
          <cell r="D76">
            <v>92861628</v>
          </cell>
        </row>
        <row r="77">
          <cell r="C77">
            <v>295050050.52972227</v>
          </cell>
          <cell r="D77">
            <v>1466189876</v>
          </cell>
        </row>
        <row r="78">
          <cell r="C78">
            <v>26386764</v>
          </cell>
          <cell r="D78">
            <v>61516870</v>
          </cell>
        </row>
        <row r="79">
          <cell r="C79">
            <v>294958806.87028229</v>
          </cell>
          <cell r="D79">
            <v>680130381</v>
          </cell>
        </row>
        <row r="80">
          <cell r="C80">
            <v>273625502.54681009</v>
          </cell>
          <cell r="D80">
            <v>728422671</v>
          </cell>
        </row>
        <row r="81">
          <cell r="C81">
            <v>32394358</v>
          </cell>
          <cell r="D81">
            <v>214061386</v>
          </cell>
        </row>
        <row r="82">
          <cell r="C82">
            <v>120627800</v>
          </cell>
          <cell r="D82">
            <v>60852338</v>
          </cell>
        </row>
        <row r="83">
          <cell r="C83">
            <v>96246007</v>
          </cell>
          <cell r="D83">
            <v>184866930</v>
          </cell>
        </row>
        <row r="84">
          <cell r="C84">
            <v>17372060</v>
          </cell>
          <cell r="D84">
            <v>355092976</v>
          </cell>
        </row>
        <row r="85">
          <cell r="C85">
            <v>147492474</v>
          </cell>
          <cell r="D85">
            <v>472286587</v>
          </cell>
        </row>
        <row r="86">
          <cell r="C86">
            <v>224692168</v>
          </cell>
          <cell r="D86">
            <v>220770082</v>
          </cell>
        </row>
        <row r="87">
          <cell r="C87">
            <v>131334971</v>
          </cell>
          <cell r="D87">
            <v>302694258</v>
          </cell>
        </row>
        <row r="88">
          <cell r="C88">
            <v>80570491</v>
          </cell>
          <cell r="D88">
            <v>241512377</v>
          </cell>
        </row>
        <row r="89">
          <cell r="C89">
            <v>273420922.13158804</v>
          </cell>
          <cell r="D89">
            <v>773348686</v>
          </cell>
        </row>
        <row r="90">
          <cell r="D90">
            <v>435172160</v>
          </cell>
        </row>
        <row r="91">
          <cell r="C91">
            <v>261441785.62422866</v>
          </cell>
          <cell r="D91">
            <v>462322919</v>
          </cell>
        </row>
        <row r="92">
          <cell r="C92">
            <v>391474714.3530246</v>
          </cell>
          <cell r="D92">
            <v>669313310</v>
          </cell>
        </row>
        <row r="93">
          <cell r="C93">
            <v>228198239</v>
          </cell>
          <cell r="D93">
            <v>61511079</v>
          </cell>
        </row>
        <row r="94">
          <cell r="C94">
            <v>95083267</v>
          </cell>
          <cell r="D94">
            <v>270557873</v>
          </cell>
        </row>
        <row r="95">
          <cell r="C95">
            <v>323751139.12641746</v>
          </cell>
          <cell r="D95">
            <v>778989474</v>
          </cell>
        </row>
        <row r="96">
          <cell r="D96">
            <v>13174880</v>
          </cell>
        </row>
        <row r="97">
          <cell r="C97">
            <v>264864220.80938244</v>
          </cell>
          <cell r="D97">
            <v>330480924</v>
          </cell>
        </row>
        <row r="98">
          <cell r="C98">
            <v>6255237</v>
          </cell>
          <cell r="D98">
            <v>715823148</v>
          </cell>
        </row>
        <row r="99">
          <cell r="C99">
            <v>17855922</v>
          </cell>
          <cell r="D99">
            <v>48815403</v>
          </cell>
        </row>
        <row r="100">
          <cell r="C100">
            <v>109154923</v>
          </cell>
          <cell r="D100">
            <v>57803417</v>
          </cell>
        </row>
        <row r="101">
          <cell r="D101">
            <v>61758516</v>
          </cell>
        </row>
        <row r="102">
          <cell r="C102">
            <v>97539932</v>
          </cell>
          <cell r="D102">
            <v>219463606</v>
          </cell>
        </row>
        <row r="103">
          <cell r="C103">
            <v>81117119</v>
          </cell>
          <cell r="D103">
            <v>322002285</v>
          </cell>
        </row>
        <row r="104">
          <cell r="C104">
            <v>30134692</v>
          </cell>
          <cell r="D104">
            <v>83978465</v>
          </cell>
        </row>
        <row r="105">
          <cell r="C105">
            <v>192881362</v>
          </cell>
          <cell r="D105">
            <v>539542322</v>
          </cell>
        </row>
        <row r="106">
          <cell r="C106">
            <v>155515765</v>
          </cell>
          <cell r="D106">
            <v>42101672</v>
          </cell>
        </row>
        <row r="107">
          <cell r="C107">
            <v>256216532.72420594</v>
          </cell>
          <cell r="D107">
            <v>473692235</v>
          </cell>
        </row>
        <row r="108">
          <cell r="C108">
            <v>267084699.92964956</v>
          </cell>
          <cell r="D108">
            <v>314825186</v>
          </cell>
        </row>
        <row r="109">
          <cell r="C109">
            <v>117067528</v>
          </cell>
          <cell r="D109">
            <v>177152954</v>
          </cell>
        </row>
        <row r="110">
          <cell r="C110">
            <v>85567767</v>
          </cell>
          <cell r="D110">
            <v>102952324</v>
          </cell>
        </row>
        <row r="111">
          <cell r="D111">
            <v>76662803</v>
          </cell>
        </row>
        <row r="112">
          <cell r="C112">
            <v>140326128</v>
          </cell>
          <cell r="D112">
            <v>66490518</v>
          </cell>
        </row>
        <row r="113">
          <cell r="C113">
            <v>350816803.89951557</v>
          </cell>
          <cell r="D113">
            <v>753091430</v>
          </cell>
        </row>
        <row r="114">
          <cell r="C114">
            <v>80976771</v>
          </cell>
          <cell r="D114">
            <v>13214617</v>
          </cell>
        </row>
        <row r="115">
          <cell r="C115">
            <v>132575341</v>
          </cell>
          <cell r="D115">
            <v>268823528</v>
          </cell>
        </row>
        <row r="116">
          <cell r="D116">
            <v>195029830</v>
          </cell>
        </row>
        <row r="117">
          <cell r="C117">
            <v>249936368.10600176</v>
          </cell>
          <cell r="D117">
            <v>2066918885</v>
          </cell>
        </row>
        <row r="118">
          <cell r="C118">
            <v>192498252</v>
          </cell>
          <cell r="D118">
            <v>136861245</v>
          </cell>
        </row>
        <row r="119">
          <cell r="C119">
            <v>28856184</v>
          </cell>
          <cell r="D119">
            <v>107757108</v>
          </cell>
        </row>
        <row r="120">
          <cell r="C120">
            <v>72438597</v>
          </cell>
          <cell r="D120">
            <v>136094694</v>
          </cell>
        </row>
        <row r="121">
          <cell r="C121">
            <v>88434521</v>
          </cell>
          <cell r="D121">
            <v>256090799</v>
          </cell>
        </row>
        <row r="122">
          <cell r="D122">
            <v>1403142</v>
          </cell>
        </row>
        <row r="123">
          <cell r="D123">
            <v>199239986</v>
          </cell>
        </row>
        <row r="124">
          <cell r="C124">
            <v>103425554</v>
          </cell>
          <cell r="D124">
            <v>191710250</v>
          </cell>
        </row>
        <row r="125">
          <cell r="D125">
            <v>11520000</v>
          </cell>
        </row>
        <row r="126">
          <cell r="C126">
            <v>245758754</v>
          </cell>
          <cell r="D126">
            <v>63982691</v>
          </cell>
        </row>
        <row r="127">
          <cell r="C127">
            <v>8640000</v>
          </cell>
          <cell r="D127">
            <v>34217784</v>
          </cell>
        </row>
        <row r="128">
          <cell r="C128">
            <v>45114217</v>
          </cell>
          <cell r="D128">
            <v>164373012</v>
          </cell>
        </row>
        <row r="129">
          <cell r="D129">
            <v>51858547</v>
          </cell>
        </row>
        <row r="130">
          <cell r="C130">
            <v>18269570503.433037</v>
          </cell>
          <cell r="D130">
            <v>48946539810</v>
          </cell>
        </row>
      </sheetData>
      <sheetData sheetId="1" refreshError="1"/>
      <sheetData sheetId="2"/>
      <sheetData sheetId="3">
        <row r="2">
          <cell r="A2" t="str">
            <v>001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Discounting"/>
      <sheetName val="Sectors"/>
      <sheetName val="NCB &amp; PPPs"/>
      <sheetName val="Donor projects"/>
      <sheetName val="Projects mf"/>
      <sheetName val="Debt service"/>
      <sheetName val="Interest adjustment"/>
      <sheetName val="Imports"/>
      <sheetName val="Resettlement"/>
      <sheetName val="Donors"/>
      <sheetName val="Votes"/>
      <sheetName val="Years"/>
      <sheetName val="Spending types"/>
    </sheetNames>
    <sheetDataSet>
      <sheetData sheetId="0"/>
      <sheetData sheetId="1">
        <row r="3">
          <cell r="B3" t="str">
            <v>Private capex</v>
          </cell>
          <cell r="D3">
            <v>0.1851992195665807</v>
          </cell>
          <cell r="E3" t="str">
            <v>HPPs</v>
          </cell>
          <cell r="CO3">
            <v>0</v>
          </cell>
        </row>
        <row r="4">
          <cell r="B4" t="str">
            <v>GOU capex</v>
          </cell>
          <cell r="D4" t="str">
            <v>n/a</v>
          </cell>
          <cell r="E4" t="str">
            <v>HPPs</v>
          </cell>
          <cell r="CO4">
            <v>0</v>
          </cell>
        </row>
        <row r="5">
          <cell r="B5" t="str">
            <v>Resettlement</v>
          </cell>
          <cell r="D5" t="str">
            <v>n/a</v>
          </cell>
          <cell r="E5" t="str">
            <v>HPPs</v>
          </cell>
          <cell r="CO5">
            <v>0</v>
          </cell>
        </row>
        <row r="6">
          <cell r="B6" t="str">
            <v>Loan insurance</v>
          </cell>
          <cell r="D6" t="str">
            <v>n/a</v>
          </cell>
          <cell r="E6" t="str">
            <v>HPPs</v>
          </cell>
          <cell r="CO6">
            <v>0</v>
          </cell>
        </row>
        <row r="7">
          <cell r="B7" t="str">
            <v>Management fees</v>
          </cell>
          <cell r="D7" t="str">
            <v>n/a</v>
          </cell>
          <cell r="E7" t="str">
            <v>HPPs</v>
          </cell>
          <cell r="CO7">
            <v>0</v>
          </cell>
        </row>
        <row r="8">
          <cell r="B8" t="str">
            <v>Externally financed capex</v>
          </cell>
          <cell r="D8">
            <v>0.26800000000000002</v>
          </cell>
          <cell r="E8" t="str">
            <v>HPPs</v>
          </cell>
          <cell r="CO8">
            <v>0</v>
          </cell>
        </row>
        <row r="9">
          <cell r="B9" t="str">
            <v>Resettlement</v>
          </cell>
          <cell r="D9" t="str">
            <v>n/a</v>
          </cell>
          <cell r="E9" t="str">
            <v>HPPs</v>
          </cell>
          <cell r="CO9">
            <v>0</v>
          </cell>
        </row>
        <row r="10">
          <cell r="B10" t="str">
            <v>Management fees</v>
          </cell>
          <cell r="D10" t="str">
            <v>n/a</v>
          </cell>
          <cell r="E10" t="str">
            <v>HPPs</v>
          </cell>
          <cell r="CO10">
            <v>0</v>
          </cell>
        </row>
        <row r="11">
          <cell r="B11" t="str">
            <v>Externally financed capex</v>
          </cell>
          <cell r="D11">
            <v>0.26800000000000002</v>
          </cell>
          <cell r="E11" t="str">
            <v>HPPs</v>
          </cell>
          <cell r="CO11">
            <v>0</v>
          </cell>
        </row>
        <row r="12">
          <cell r="B12" t="str">
            <v>GOU capex</v>
          </cell>
          <cell r="D12" t="str">
            <v>n/a</v>
          </cell>
          <cell r="E12" t="str">
            <v>HPPs</v>
          </cell>
          <cell r="CO12">
            <v>0</v>
          </cell>
        </row>
        <row r="13">
          <cell r="B13" t="str">
            <v>Management fees</v>
          </cell>
          <cell r="D13" t="str">
            <v>n/a</v>
          </cell>
          <cell r="E13" t="str">
            <v>HPPs</v>
          </cell>
          <cell r="CO13">
            <v>0</v>
          </cell>
        </row>
        <row r="14">
          <cell r="B14" t="str">
            <v>Externally financed capex</v>
          </cell>
          <cell r="D14">
            <v>0.1851992195665807</v>
          </cell>
          <cell r="E14" t="str">
            <v>HPPs</v>
          </cell>
          <cell r="CO14">
            <v>0</v>
          </cell>
        </row>
        <row r="15">
          <cell r="B15" t="str">
            <v>GOU capex</v>
          </cell>
          <cell r="D15" t="str">
            <v>n/a</v>
          </cell>
          <cell r="E15" t="str">
            <v>HPPs</v>
          </cell>
          <cell r="CO15">
            <v>0</v>
          </cell>
        </row>
        <row r="16">
          <cell r="B16" t="str">
            <v>Loan insurance</v>
          </cell>
          <cell r="D16" t="str">
            <v>n/a</v>
          </cell>
          <cell r="E16" t="str">
            <v>HPPs</v>
          </cell>
          <cell r="CO16">
            <v>0</v>
          </cell>
        </row>
        <row r="17">
          <cell r="B17" t="str">
            <v>Management fees</v>
          </cell>
          <cell r="D17" t="str">
            <v>n/a</v>
          </cell>
          <cell r="E17" t="str">
            <v>HPPs</v>
          </cell>
          <cell r="CO17">
            <v>0</v>
          </cell>
        </row>
        <row r="18">
          <cell r="B18" t="str">
            <v>Externally financed capex</v>
          </cell>
          <cell r="D18">
            <v>0.19</v>
          </cell>
          <cell r="E18" t="str">
            <v>PPPs</v>
          </cell>
          <cell r="CO18">
            <v>0</v>
          </cell>
        </row>
        <row r="19">
          <cell r="B19" t="str">
            <v>Externally financed capex</v>
          </cell>
          <cell r="D19">
            <v>0.1851992195665807</v>
          </cell>
          <cell r="E19" t="str">
            <v>SGR</v>
          </cell>
          <cell r="CO19">
            <v>0</v>
          </cell>
        </row>
        <row r="20">
          <cell r="B20" t="str">
            <v>GOU capex</v>
          </cell>
          <cell r="D20" t="str">
            <v>n/a</v>
          </cell>
          <cell r="E20" t="str">
            <v>SGR</v>
          </cell>
          <cell r="CO20">
            <v>0</v>
          </cell>
        </row>
        <row r="21">
          <cell r="B21" t="str">
            <v>Resettlement</v>
          </cell>
          <cell r="D21" t="str">
            <v>n/a</v>
          </cell>
          <cell r="E21" t="str">
            <v>SGR</v>
          </cell>
          <cell r="CO21">
            <v>0</v>
          </cell>
        </row>
        <row r="22">
          <cell r="B22" t="str">
            <v>Loan insurance</v>
          </cell>
          <cell r="D22" t="str">
            <v>n/a</v>
          </cell>
          <cell r="E22" t="str">
            <v>SGR</v>
          </cell>
          <cell r="CO22">
            <v>0</v>
          </cell>
        </row>
        <row r="23">
          <cell r="B23" t="str">
            <v>Management fees</v>
          </cell>
          <cell r="D23" t="str">
            <v>n/a</v>
          </cell>
          <cell r="E23" t="str">
            <v>SGR</v>
          </cell>
          <cell r="CO23">
            <v>0</v>
          </cell>
        </row>
        <row r="24">
          <cell r="B24" t="str">
            <v>Externally financed capex</v>
          </cell>
          <cell r="D24">
            <v>0.17</v>
          </cell>
          <cell r="E24" t="str">
            <v>Other non-concessional projects</v>
          </cell>
          <cell r="CO24">
            <v>0</v>
          </cell>
        </row>
        <row r="25">
          <cell r="B25" t="str">
            <v>Externally financed capex</v>
          </cell>
          <cell r="D25">
            <v>0.3</v>
          </cell>
          <cell r="E25" t="str">
            <v>Other non-concessional projects</v>
          </cell>
          <cell r="CO25">
            <v>0</v>
          </cell>
        </row>
        <row r="26">
          <cell r="B26" t="str">
            <v>Externally financed capex</v>
          </cell>
          <cell r="D26">
            <v>0.3</v>
          </cell>
          <cell r="E26" t="str">
            <v>Other non-concessional projects</v>
          </cell>
          <cell r="CO26">
            <v>0</v>
          </cell>
        </row>
        <row r="27">
          <cell r="B27" t="str">
            <v>Externally financed capex</v>
          </cell>
          <cell r="D27">
            <v>0.224</v>
          </cell>
          <cell r="E27" t="str">
            <v>Other non-concessional projects</v>
          </cell>
          <cell r="CO27">
            <v>0</v>
          </cell>
        </row>
        <row r="28">
          <cell r="B28" t="str">
            <v>Externally financed capex</v>
          </cell>
          <cell r="D28">
            <v>0.224</v>
          </cell>
          <cell r="E28" t="str">
            <v>Other non-concessional projects</v>
          </cell>
          <cell r="CO28">
            <v>0</v>
          </cell>
        </row>
        <row r="29">
          <cell r="B29" t="str">
            <v>Externally financed capex</v>
          </cell>
          <cell r="D29">
            <v>0.3</v>
          </cell>
          <cell r="E29" t="str">
            <v>Other non-concessional projects</v>
          </cell>
          <cell r="CO29">
            <v>0</v>
          </cell>
        </row>
        <row r="30">
          <cell r="B30" t="str">
            <v>Externally financed capex</v>
          </cell>
          <cell r="D30">
            <v>0.3</v>
          </cell>
          <cell r="E30" t="str">
            <v>Other non-concessional projects</v>
          </cell>
          <cell r="CO30">
            <v>0</v>
          </cell>
        </row>
        <row r="31">
          <cell r="B31" t="str">
            <v>Externally financed capex</v>
          </cell>
          <cell r="D31">
            <v>0.3</v>
          </cell>
          <cell r="E31" t="str">
            <v>Other non-concessional projects</v>
          </cell>
          <cell r="CO31">
            <v>0</v>
          </cell>
        </row>
        <row r="32">
          <cell r="B32" t="str">
            <v>Externally financed capex</v>
          </cell>
          <cell r="D32">
            <v>0.17</v>
          </cell>
          <cell r="E32" t="str">
            <v>Other non-concessional projects</v>
          </cell>
          <cell r="CO32">
            <v>0</v>
          </cell>
        </row>
        <row r="33">
          <cell r="B33" t="str">
            <v>Externally financed capex</v>
          </cell>
          <cell r="D33">
            <v>0.17</v>
          </cell>
          <cell r="E33" t="str">
            <v>Other non-concessional projects</v>
          </cell>
          <cell r="CO33">
            <v>0</v>
          </cell>
        </row>
        <row r="34">
          <cell r="B34" t="str">
            <v>Externally financed capex</v>
          </cell>
          <cell r="D34">
            <v>0.3</v>
          </cell>
          <cell r="E34" t="str">
            <v>Other non-concessional projects</v>
          </cell>
          <cell r="CO34">
            <v>0</v>
          </cell>
        </row>
        <row r="35">
          <cell r="B35" t="str">
            <v>Externally financed capex</v>
          </cell>
          <cell r="D35">
            <v>0.20699999999999999</v>
          </cell>
          <cell r="E35" t="str">
            <v>Other non-concessional projects</v>
          </cell>
          <cell r="CO35">
            <v>0</v>
          </cell>
        </row>
        <row r="36">
          <cell r="B36" t="str">
            <v>Externally financed capex</v>
          </cell>
          <cell r="D36">
            <v>0.3</v>
          </cell>
          <cell r="E36" t="str">
            <v>Other non-concessional projects</v>
          </cell>
          <cell r="CO36">
            <v>0</v>
          </cell>
        </row>
        <row r="37">
          <cell r="B37" t="str">
            <v>Externally financed capex</v>
          </cell>
          <cell r="D37">
            <v>0</v>
          </cell>
          <cell r="E37" t="str">
            <v>Other non-concessional projects</v>
          </cell>
          <cell r="CO37">
            <v>0</v>
          </cell>
        </row>
        <row r="38">
          <cell r="B38" t="str">
            <v>Externally financed capex</v>
          </cell>
          <cell r="D38">
            <v>0.3</v>
          </cell>
          <cell r="E38" t="str">
            <v>Other non-concessional projects</v>
          </cell>
          <cell r="CO38">
            <v>0</v>
          </cell>
        </row>
        <row r="39">
          <cell r="B39" t="str">
            <v>Externally financed capex</v>
          </cell>
          <cell r="D39">
            <v>0.26800000000000002</v>
          </cell>
          <cell r="E39" t="str">
            <v>Other non-concessional projects</v>
          </cell>
          <cell r="CO39">
            <v>0</v>
          </cell>
        </row>
        <row r="40">
          <cell r="B40" t="str">
            <v>Externally financed capex</v>
          </cell>
          <cell r="D40">
            <v>0</v>
          </cell>
          <cell r="E40" t="str">
            <v>Other non-concessional projects</v>
          </cell>
          <cell r="CO40">
            <v>0</v>
          </cell>
        </row>
        <row r="41">
          <cell r="B41" t="str">
            <v>Externally financed capex</v>
          </cell>
          <cell r="D41">
            <v>0.26300000000000001</v>
          </cell>
          <cell r="E41" t="str">
            <v>Other non-concessional projects</v>
          </cell>
          <cell r="CO41">
            <v>0</v>
          </cell>
        </row>
        <row r="42">
          <cell r="B42" t="str">
            <v>Externally financed capex</v>
          </cell>
          <cell r="D42">
            <v>0.23599999999999999</v>
          </cell>
          <cell r="E42" t="str">
            <v>Other non-concessional projects</v>
          </cell>
          <cell r="CO42">
            <v>0.15</v>
          </cell>
        </row>
        <row r="43">
          <cell r="B43" t="str">
            <v>Externally financed capex</v>
          </cell>
          <cell r="D43">
            <v>0.3</v>
          </cell>
          <cell r="E43" t="str">
            <v>Other non-concessional projects</v>
          </cell>
          <cell r="CO43">
            <v>0</v>
          </cell>
        </row>
        <row r="44">
          <cell r="B44" t="str">
            <v>Externally financed capex</v>
          </cell>
          <cell r="D44">
            <v>0.3</v>
          </cell>
          <cell r="E44" t="str">
            <v>Other non-concessional projects</v>
          </cell>
          <cell r="CO44">
            <v>0</v>
          </cell>
        </row>
        <row r="45">
          <cell r="B45" t="str">
            <v>Externally financed capex</v>
          </cell>
          <cell r="D45">
            <v>0.224</v>
          </cell>
          <cell r="E45" t="str">
            <v>Other non-concessional projects</v>
          </cell>
          <cell r="CO45">
            <v>0</v>
          </cell>
        </row>
        <row r="46">
          <cell r="B46" t="str">
            <v>Externally financed capex</v>
          </cell>
          <cell r="D46">
            <v>0.191</v>
          </cell>
          <cell r="E46" t="str">
            <v>Other non-concessional projects</v>
          </cell>
          <cell r="CO46">
            <v>0</v>
          </cell>
        </row>
        <row r="47">
          <cell r="B47" t="str">
            <v>Externally financed capex</v>
          </cell>
          <cell r="D47">
            <v>0.191</v>
          </cell>
          <cell r="E47" t="str">
            <v>Other non-concessional projects</v>
          </cell>
          <cell r="CO47">
            <v>0</v>
          </cell>
        </row>
        <row r="48">
          <cell r="B48" t="str">
            <v>Externally financed capex</v>
          </cell>
          <cell r="D48">
            <v>0.191</v>
          </cell>
          <cell r="E48" t="str">
            <v>Other non-concessional projects</v>
          </cell>
          <cell r="CO48">
            <v>0</v>
          </cell>
        </row>
        <row r="49">
          <cell r="B49" t="str">
            <v>Externally financed capex</v>
          </cell>
          <cell r="D49">
            <v>0.191</v>
          </cell>
          <cell r="E49" t="str">
            <v>Other non-concessional projects</v>
          </cell>
          <cell r="CO49">
            <v>0</v>
          </cell>
        </row>
        <row r="50">
          <cell r="B50" t="str">
            <v>Externally financed capex</v>
          </cell>
          <cell r="D50">
            <v>0.191</v>
          </cell>
          <cell r="E50" t="str">
            <v>Other non-concessional projects</v>
          </cell>
          <cell r="CO50">
            <v>0</v>
          </cell>
        </row>
        <row r="51">
          <cell r="B51" t="str">
            <v>Externally financed capex</v>
          </cell>
          <cell r="D51">
            <v>0.191</v>
          </cell>
          <cell r="E51" t="str">
            <v>Other non-concessional projects</v>
          </cell>
          <cell r="CO51">
            <v>0</v>
          </cell>
        </row>
        <row r="52">
          <cell r="B52" t="str">
            <v>Externally financed capex</v>
          </cell>
          <cell r="D52">
            <v>0.191</v>
          </cell>
          <cell r="E52" t="str">
            <v>Other non-concessional projects</v>
          </cell>
          <cell r="CO52">
            <v>0</v>
          </cell>
        </row>
        <row r="53">
          <cell r="B53" t="str">
            <v>Externally financed capex</v>
          </cell>
          <cell r="D53">
            <v>0.191</v>
          </cell>
          <cell r="E53" t="str">
            <v>Other non-concessional projects</v>
          </cell>
          <cell r="CO53">
            <v>0</v>
          </cell>
        </row>
        <row r="54">
          <cell r="B54" t="str">
            <v>Externally financed capex</v>
          </cell>
          <cell r="D54">
            <v>0.3</v>
          </cell>
          <cell r="E54" t="str">
            <v>Other non-concessional projects</v>
          </cell>
          <cell r="CO54">
            <v>0</v>
          </cell>
        </row>
        <row r="55">
          <cell r="B55" t="str">
            <v>Externally financed capex</v>
          </cell>
          <cell r="D55">
            <v>0.3</v>
          </cell>
          <cell r="E55" t="str">
            <v>Other non-concessional projects</v>
          </cell>
          <cell r="CO55">
            <v>0</v>
          </cell>
        </row>
        <row r="56">
          <cell r="B56" t="str">
            <v>Resettlement</v>
          </cell>
          <cell r="D56" t="str">
            <v>n/a</v>
          </cell>
          <cell r="E56" t="str">
            <v>PPPs</v>
          </cell>
          <cell r="CO56">
            <v>0</v>
          </cell>
        </row>
        <row r="57">
          <cell r="B57" t="str">
            <v>Private capex</v>
          </cell>
          <cell r="D57" t="str">
            <v>n/a</v>
          </cell>
          <cell r="E57" t="str">
            <v>PPPs</v>
          </cell>
          <cell r="CO57">
            <v>0</v>
          </cell>
        </row>
        <row r="58">
          <cell r="B58" t="str">
            <v>Resettlement</v>
          </cell>
          <cell r="D58" t="str">
            <v>n/a</v>
          </cell>
          <cell r="E58" t="str">
            <v>PPPs</v>
          </cell>
          <cell r="CO58">
            <v>0</v>
          </cell>
        </row>
        <row r="59">
          <cell r="B59" t="str">
            <v>Private capex</v>
          </cell>
          <cell r="D59" t="str">
            <v>n/a</v>
          </cell>
          <cell r="E59" t="str">
            <v>PPPs</v>
          </cell>
          <cell r="CO59">
            <v>0</v>
          </cell>
        </row>
        <row r="60">
          <cell r="B60" t="str">
            <v>Resettlement</v>
          </cell>
          <cell r="D60" t="str">
            <v>n/a</v>
          </cell>
          <cell r="E60" t="str">
            <v>PPPs</v>
          </cell>
          <cell r="CO60">
            <v>0</v>
          </cell>
        </row>
        <row r="61">
          <cell r="B61" t="str">
            <v>Private capex</v>
          </cell>
          <cell r="D61" t="str">
            <v>n/a</v>
          </cell>
          <cell r="E61" t="str">
            <v>PPPs</v>
          </cell>
          <cell r="CO61">
            <v>0</v>
          </cell>
        </row>
        <row r="62">
          <cell r="B62" t="str">
            <v>Externally financed capex</v>
          </cell>
          <cell r="D62">
            <v>0.47</v>
          </cell>
          <cell r="E62" t="str">
            <v>Concessional loans</v>
          </cell>
          <cell r="CO62">
            <v>0</v>
          </cell>
        </row>
        <row r="63">
          <cell r="B63" t="str">
            <v>Externally financed capex</v>
          </cell>
          <cell r="D63">
            <v>0.47</v>
          </cell>
          <cell r="E63" t="str">
            <v>Concessional loans</v>
          </cell>
          <cell r="CO63">
            <v>0</v>
          </cell>
        </row>
        <row r="64">
          <cell r="B64" t="str">
            <v>Externally financed capex</v>
          </cell>
          <cell r="D64">
            <v>0.47</v>
          </cell>
          <cell r="E64" t="str">
            <v>Concessional loans</v>
          </cell>
          <cell r="CO64">
            <v>0</v>
          </cell>
        </row>
        <row r="65">
          <cell r="B65" t="str">
            <v>Externally financed capex</v>
          </cell>
          <cell r="D65">
            <v>0.47</v>
          </cell>
          <cell r="E65" t="str">
            <v>Concessional loans</v>
          </cell>
          <cell r="CO65">
            <v>0</v>
          </cell>
        </row>
        <row r="66">
          <cell r="B66" t="str">
            <v>Externally financed capex</v>
          </cell>
          <cell r="D66">
            <v>0.47</v>
          </cell>
          <cell r="E66" t="str">
            <v>Concessional loans</v>
          </cell>
          <cell r="CO66">
            <v>0</v>
          </cell>
        </row>
        <row r="67">
          <cell r="B67" t="str">
            <v>Externally financed capex</v>
          </cell>
          <cell r="D67">
            <v>0.47</v>
          </cell>
          <cell r="E67" t="str">
            <v>Concessional loans</v>
          </cell>
          <cell r="CO67">
            <v>0</v>
          </cell>
        </row>
        <row r="68">
          <cell r="B68" t="str">
            <v>Externally financed capex</v>
          </cell>
          <cell r="D68">
            <v>0.47</v>
          </cell>
          <cell r="E68" t="str">
            <v>Concessional loans</v>
          </cell>
          <cell r="CO68">
            <v>0.15959482503152456</v>
          </cell>
        </row>
        <row r="69">
          <cell r="B69" t="str">
            <v>Externally financed capex</v>
          </cell>
          <cell r="D69">
            <v>0.47</v>
          </cell>
          <cell r="E69" t="str">
            <v>Concessional loans</v>
          </cell>
          <cell r="CO69">
            <v>0.15959482503152456</v>
          </cell>
        </row>
        <row r="70">
          <cell r="B70" t="str">
            <v>Externally financed capex</v>
          </cell>
          <cell r="D70">
            <v>0.47</v>
          </cell>
          <cell r="E70" t="str">
            <v>Concessional loans</v>
          </cell>
          <cell r="CO70">
            <v>0.15959482503152456</v>
          </cell>
        </row>
        <row r="71">
          <cell r="B71" t="str">
            <v>Externally financed capex</v>
          </cell>
          <cell r="D71">
            <v>0.36</v>
          </cell>
          <cell r="E71" t="str">
            <v>Concessional loans</v>
          </cell>
          <cell r="CO71">
            <v>0.15959482503152456</v>
          </cell>
        </row>
        <row r="72">
          <cell r="B72" t="str">
            <v>Externally financed capex</v>
          </cell>
          <cell r="D72">
            <v>0.47</v>
          </cell>
          <cell r="E72" t="str">
            <v>Concessional loans</v>
          </cell>
          <cell r="CO72">
            <v>0.15959482503152456</v>
          </cell>
        </row>
        <row r="73">
          <cell r="B73" t="str">
            <v>Externally financed capex</v>
          </cell>
          <cell r="D73">
            <v>0.47</v>
          </cell>
          <cell r="E73" t="str">
            <v>Concessional loans</v>
          </cell>
          <cell r="CO73">
            <v>0.15959482503152456</v>
          </cell>
        </row>
        <row r="74">
          <cell r="B74" t="str">
            <v>Externally financed capex</v>
          </cell>
          <cell r="D74">
            <v>0.47</v>
          </cell>
          <cell r="E74" t="str">
            <v>Concessional loans</v>
          </cell>
          <cell r="CO74">
            <v>0.15959482503152456</v>
          </cell>
        </row>
        <row r="75">
          <cell r="B75" t="str">
            <v>Externally financed capex</v>
          </cell>
          <cell r="D75">
            <v>0.47</v>
          </cell>
          <cell r="E75" t="str">
            <v>Concessional loans</v>
          </cell>
          <cell r="CO75">
            <v>0.15959482503152456</v>
          </cell>
        </row>
        <row r="76">
          <cell r="B76" t="str">
            <v>Externally financed capex</v>
          </cell>
          <cell r="D76">
            <v>0.47</v>
          </cell>
          <cell r="E76" t="str">
            <v>Concessional loans</v>
          </cell>
          <cell r="CO76">
            <v>0.10834982632838852</v>
          </cell>
        </row>
        <row r="77">
          <cell r="B77" t="str">
            <v>Externally financed capex</v>
          </cell>
          <cell r="D77">
            <v>0.36</v>
          </cell>
          <cell r="E77" t="str">
            <v>Concessional loans</v>
          </cell>
          <cell r="CO77">
            <v>0.10834982632838852</v>
          </cell>
        </row>
        <row r="78">
          <cell r="B78" t="str">
            <v>Externally financed capex</v>
          </cell>
          <cell r="D78">
            <v>0.36</v>
          </cell>
          <cell r="E78" t="str">
            <v>Concessional loans</v>
          </cell>
          <cell r="CO78">
            <v>0.10834982632838852</v>
          </cell>
        </row>
        <row r="79">
          <cell r="B79" t="str">
            <v>Externally financed capex</v>
          </cell>
          <cell r="D79">
            <v>0.36</v>
          </cell>
          <cell r="E79" t="str">
            <v>Concessional loans</v>
          </cell>
          <cell r="CO79">
            <v>0.10834982632838852</v>
          </cell>
        </row>
        <row r="80">
          <cell r="B80" t="str">
            <v>Externally financed capex</v>
          </cell>
          <cell r="D80">
            <v>0.4</v>
          </cell>
          <cell r="E80" t="str">
            <v>Concessional loans</v>
          </cell>
          <cell r="CO80">
            <v>0.10834982632838852</v>
          </cell>
        </row>
        <row r="81">
          <cell r="B81" t="str">
            <v>Externally financed capex</v>
          </cell>
          <cell r="D81">
            <v>0.36</v>
          </cell>
          <cell r="E81" t="str">
            <v>Concessional loans</v>
          </cell>
          <cell r="CO81">
            <v>0.10834982632838852</v>
          </cell>
        </row>
        <row r="82">
          <cell r="B82" t="str">
            <v>Externally financed capex</v>
          </cell>
          <cell r="D82">
            <v>0.47</v>
          </cell>
          <cell r="E82" t="str">
            <v>Concessional loans</v>
          </cell>
          <cell r="CO82">
            <v>0.10834982632838852</v>
          </cell>
        </row>
        <row r="83">
          <cell r="B83" t="str">
            <v>Externally financed capex</v>
          </cell>
          <cell r="D83">
            <v>0.47</v>
          </cell>
          <cell r="E83" t="str">
            <v>Concessional loans</v>
          </cell>
          <cell r="CO83">
            <v>0.10834982632838852</v>
          </cell>
        </row>
        <row r="84">
          <cell r="B84" t="str">
            <v>Externally financed capex</v>
          </cell>
          <cell r="D84">
            <v>0.47</v>
          </cell>
          <cell r="E84" t="str">
            <v>Concessional loans</v>
          </cell>
          <cell r="CO84">
            <v>0.10834982632838852</v>
          </cell>
        </row>
        <row r="85">
          <cell r="B85" t="str">
            <v>Externally financed capex</v>
          </cell>
          <cell r="D85">
            <v>0.47</v>
          </cell>
          <cell r="E85" t="str">
            <v>Concessional loans</v>
          </cell>
          <cell r="CO85">
            <v>0.10834982632838852</v>
          </cell>
        </row>
        <row r="86">
          <cell r="B86" t="str">
            <v>Externally financed capex</v>
          </cell>
          <cell r="D86">
            <v>0.47</v>
          </cell>
          <cell r="E86" t="str">
            <v>Concessional loans</v>
          </cell>
          <cell r="CO86">
            <v>0.10834982632838852</v>
          </cell>
        </row>
        <row r="87">
          <cell r="B87" t="str">
            <v>Externally financed capex</v>
          </cell>
          <cell r="D87">
            <v>0.47</v>
          </cell>
          <cell r="E87" t="str">
            <v>Concessional loans</v>
          </cell>
          <cell r="CO87">
            <v>0.10834982632838852</v>
          </cell>
        </row>
        <row r="88">
          <cell r="B88" t="str">
            <v>Externally financed capex</v>
          </cell>
          <cell r="D88">
            <v>0.47</v>
          </cell>
          <cell r="E88" t="str">
            <v>Concessional loans</v>
          </cell>
          <cell r="CO88">
            <v>0.10834982632838852</v>
          </cell>
        </row>
        <row r="89">
          <cell r="B89" t="str">
            <v>Externally financed capex</v>
          </cell>
          <cell r="D89">
            <v>0.47</v>
          </cell>
          <cell r="E89" t="str">
            <v>Concessional loans</v>
          </cell>
          <cell r="CO89">
            <v>0.10834982632838852</v>
          </cell>
        </row>
        <row r="90">
          <cell r="B90" t="str">
            <v>Externally financed capex</v>
          </cell>
          <cell r="D90">
            <v>0.47</v>
          </cell>
          <cell r="E90" t="str">
            <v>Concessional loans</v>
          </cell>
          <cell r="CO90">
            <v>0.10834982632838852</v>
          </cell>
        </row>
        <row r="91">
          <cell r="B91" t="str">
            <v>Externally financed capex</v>
          </cell>
          <cell r="D91">
            <v>0.47</v>
          </cell>
          <cell r="E91" t="str">
            <v>Concessional loans</v>
          </cell>
          <cell r="CO91">
            <v>0.15035417368251552</v>
          </cell>
        </row>
        <row r="92">
          <cell r="B92" t="str">
            <v>Externally financed capex</v>
          </cell>
          <cell r="D92">
            <v>0.36</v>
          </cell>
          <cell r="E92" t="str">
            <v>Concessional loans</v>
          </cell>
          <cell r="CO92">
            <v>0.15035417368251552</v>
          </cell>
        </row>
        <row r="93">
          <cell r="B93" t="str">
            <v>Externally financed capex</v>
          </cell>
          <cell r="D93">
            <v>0.36</v>
          </cell>
          <cell r="E93" t="str">
            <v>Concessional loans</v>
          </cell>
          <cell r="CO93">
            <v>0.15035417368251552</v>
          </cell>
        </row>
        <row r="94">
          <cell r="B94" t="str">
            <v>Externally financed capex</v>
          </cell>
          <cell r="D94">
            <v>0.36</v>
          </cell>
          <cell r="E94" t="str">
            <v>Concessional loans</v>
          </cell>
          <cell r="CO94">
            <v>0.15035417368251552</v>
          </cell>
        </row>
        <row r="95">
          <cell r="B95" t="str">
            <v>Externally financed capex</v>
          </cell>
          <cell r="D95">
            <v>0.36</v>
          </cell>
          <cell r="E95" t="str">
            <v>Concessional loans</v>
          </cell>
          <cell r="CO95">
            <v>0.15035417368251552</v>
          </cell>
        </row>
        <row r="96">
          <cell r="B96" t="str">
            <v>Externally financed capex</v>
          </cell>
          <cell r="D96">
            <v>0.47</v>
          </cell>
          <cell r="E96" t="str">
            <v>Concessional loans</v>
          </cell>
          <cell r="CO96">
            <v>0.15035417368251552</v>
          </cell>
        </row>
        <row r="97">
          <cell r="B97" t="str">
            <v>Externally financed capex</v>
          </cell>
          <cell r="D97">
            <v>0.47</v>
          </cell>
          <cell r="E97" t="str">
            <v>Concessional loans</v>
          </cell>
          <cell r="CO97">
            <v>0.15035417368251552</v>
          </cell>
        </row>
        <row r="98">
          <cell r="B98" t="str">
            <v>Externally financed capex</v>
          </cell>
          <cell r="D98">
            <v>0.47</v>
          </cell>
          <cell r="E98" t="str">
            <v>Concessional loans</v>
          </cell>
          <cell r="CO98">
            <v>0.15035417368251552</v>
          </cell>
        </row>
        <row r="99">
          <cell r="B99" t="str">
            <v>Externally financed capex</v>
          </cell>
          <cell r="D99">
            <v>0.47</v>
          </cell>
          <cell r="E99" t="str">
            <v>Concessional loans</v>
          </cell>
          <cell r="CO99">
            <v>0.15035417368251552</v>
          </cell>
        </row>
        <row r="100">
          <cell r="B100" t="str">
            <v>Externally financed capex</v>
          </cell>
          <cell r="D100">
            <v>0.47</v>
          </cell>
          <cell r="E100" t="str">
            <v>Concessional loans</v>
          </cell>
          <cell r="CO100">
            <v>0.15035417368251552</v>
          </cell>
        </row>
        <row r="101">
          <cell r="B101" t="str">
            <v>Externally financed capex</v>
          </cell>
          <cell r="D101">
            <v>0.47</v>
          </cell>
          <cell r="E101" t="str">
            <v>Concessional loans</v>
          </cell>
          <cell r="CO101">
            <v>0.15035417368251552</v>
          </cell>
        </row>
        <row r="102">
          <cell r="B102" t="str">
            <v>Externally financed capex</v>
          </cell>
          <cell r="D102">
            <v>0.47</v>
          </cell>
          <cell r="E102" t="str">
            <v>Concessional loans</v>
          </cell>
          <cell r="CO102">
            <v>0.15035417368251552</v>
          </cell>
        </row>
        <row r="103">
          <cell r="B103" t="str">
            <v>Externally financed capex</v>
          </cell>
          <cell r="D103">
            <v>0.47</v>
          </cell>
          <cell r="E103" t="str">
            <v>Concessional loans</v>
          </cell>
          <cell r="CO103">
            <v>0.15035417368251552</v>
          </cell>
        </row>
        <row r="104">
          <cell r="B104" t="str">
            <v>Externally financed capex</v>
          </cell>
          <cell r="D104">
            <v>0.47</v>
          </cell>
          <cell r="E104" t="str">
            <v>Concessional loans</v>
          </cell>
          <cell r="CO104">
            <v>0.15035417368251552</v>
          </cell>
        </row>
        <row r="105">
          <cell r="B105" t="str">
            <v>Externally financed capex</v>
          </cell>
          <cell r="D105">
            <v>0.47</v>
          </cell>
          <cell r="E105" t="str">
            <v>Concessional loans</v>
          </cell>
          <cell r="CO105">
            <v>0.15035417368251552</v>
          </cell>
        </row>
        <row r="106">
          <cell r="B106" t="str">
            <v>Externally financed capex</v>
          </cell>
          <cell r="D106">
            <v>0.47</v>
          </cell>
          <cell r="E106" t="str">
            <v>Concessional loans</v>
          </cell>
          <cell r="CO106">
            <v>0.15035417368251552</v>
          </cell>
        </row>
        <row r="107">
          <cell r="B107" t="str">
            <v>Externally financed capex</v>
          </cell>
          <cell r="D107">
            <v>0.4</v>
          </cell>
          <cell r="E107" t="str">
            <v>Concessional loans</v>
          </cell>
          <cell r="CO107">
            <v>0.15035417368251552</v>
          </cell>
        </row>
        <row r="108">
          <cell r="B108" t="str">
            <v>Externally financed capex</v>
          </cell>
          <cell r="D108">
            <v>0.4</v>
          </cell>
          <cell r="E108" t="str">
            <v>Concessional loans</v>
          </cell>
          <cell r="CO108">
            <v>0.15035417368251552</v>
          </cell>
        </row>
        <row r="109">
          <cell r="B109" t="str">
            <v>Externally financed capex</v>
          </cell>
          <cell r="D109">
            <v>0.47</v>
          </cell>
          <cell r="E109" t="str">
            <v>Concessional loans</v>
          </cell>
          <cell r="CO109">
            <v>0.15035417368251552</v>
          </cell>
        </row>
        <row r="110">
          <cell r="B110" t="str">
            <v>Externally financed capex</v>
          </cell>
          <cell r="D110">
            <v>0.47</v>
          </cell>
          <cell r="E110" t="str">
            <v>Concessional loans</v>
          </cell>
          <cell r="CO110">
            <v>0.15035417368251552</v>
          </cell>
        </row>
        <row r="111">
          <cell r="B111" t="str">
            <v>Externally financed capex</v>
          </cell>
          <cell r="D111">
            <v>0.37</v>
          </cell>
          <cell r="E111" t="str">
            <v>Concessional loans</v>
          </cell>
          <cell r="CO111">
            <v>0.15035417368251552</v>
          </cell>
        </row>
        <row r="112">
          <cell r="B112" t="str">
            <v>Externally financed capex</v>
          </cell>
          <cell r="D112">
            <v>0.47</v>
          </cell>
          <cell r="E112" t="str">
            <v>Concessional loans</v>
          </cell>
          <cell r="CO112">
            <v>0.15035417368251552</v>
          </cell>
        </row>
        <row r="113">
          <cell r="B113" t="str">
            <v>Externally financed capex</v>
          </cell>
          <cell r="D113">
            <v>0.47</v>
          </cell>
          <cell r="E113" t="str">
            <v>Concessional loans</v>
          </cell>
          <cell r="CO113">
            <v>0.08</v>
          </cell>
        </row>
        <row r="114">
          <cell r="B114" t="str">
            <v>Externally financed capex</v>
          </cell>
          <cell r="D114">
            <v>0.4</v>
          </cell>
          <cell r="E114" t="str">
            <v>Concessional loans</v>
          </cell>
          <cell r="CO114">
            <v>0.08</v>
          </cell>
        </row>
        <row r="115">
          <cell r="B115" t="str">
            <v>Externally financed capex</v>
          </cell>
          <cell r="D115">
            <v>0.4</v>
          </cell>
          <cell r="E115" t="str">
            <v>Concessional loans</v>
          </cell>
          <cell r="CO115">
            <v>0.08</v>
          </cell>
        </row>
        <row r="116">
          <cell r="B116" t="str">
            <v>Externally financed capex</v>
          </cell>
          <cell r="D116">
            <v>0.36</v>
          </cell>
          <cell r="E116" t="str">
            <v>Concessional loans</v>
          </cell>
          <cell r="CO116">
            <v>2.6729509764834049E-2</v>
          </cell>
        </row>
        <row r="117">
          <cell r="B117" t="str">
            <v>Externally financed capex</v>
          </cell>
          <cell r="D117">
            <v>0.36</v>
          </cell>
          <cell r="E117" t="str">
            <v>Concessional loans</v>
          </cell>
          <cell r="CO117">
            <v>2.6729509764834049E-2</v>
          </cell>
        </row>
        <row r="118">
          <cell r="B118" t="str">
            <v>Externally financed capex</v>
          </cell>
          <cell r="D118">
            <v>0.47</v>
          </cell>
          <cell r="E118" t="str">
            <v>Concessional loans</v>
          </cell>
          <cell r="CO118">
            <v>2.6729509764834049E-2</v>
          </cell>
        </row>
        <row r="119">
          <cell r="B119" t="str">
            <v>Externally financed capex</v>
          </cell>
          <cell r="D119">
            <v>0.47</v>
          </cell>
          <cell r="E119" t="str">
            <v>Concessional loans</v>
          </cell>
          <cell r="CO119">
            <v>2.6729509764834049E-2</v>
          </cell>
        </row>
        <row r="120">
          <cell r="B120" t="str">
            <v>Externally financed capex</v>
          </cell>
          <cell r="D120">
            <v>0.47</v>
          </cell>
          <cell r="E120" t="str">
            <v>Concessional loans</v>
          </cell>
          <cell r="CO120">
            <v>2.6729509764834049E-2</v>
          </cell>
        </row>
        <row r="121">
          <cell r="B121" t="str">
            <v>Externally financed capex</v>
          </cell>
          <cell r="D121">
            <v>0.47</v>
          </cell>
          <cell r="E121" t="str">
            <v>Concessional loans</v>
          </cell>
          <cell r="CO121">
            <v>2.6729509764834049E-2</v>
          </cell>
        </row>
        <row r="122">
          <cell r="B122" t="str">
            <v>Externally financed capex</v>
          </cell>
          <cell r="D122">
            <v>0.36</v>
          </cell>
          <cell r="E122" t="str">
            <v>Concessional loans</v>
          </cell>
          <cell r="CO122">
            <v>2.6729509764834049E-2</v>
          </cell>
        </row>
        <row r="123">
          <cell r="B123" t="str">
            <v>Externally financed capex</v>
          </cell>
          <cell r="D123">
            <v>0.36</v>
          </cell>
          <cell r="E123" t="str">
            <v>Concessional loans</v>
          </cell>
          <cell r="CO123">
            <v>2.6729509764834049E-2</v>
          </cell>
        </row>
        <row r="124">
          <cell r="B124" t="str">
            <v>Externally financed capex</v>
          </cell>
          <cell r="D124">
            <v>0.36</v>
          </cell>
          <cell r="E124" t="str">
            <v>Concessional loans</v>
          </cell>
          <cell r="CO124">
            <v>2.6729509764834049E-2</v>
          </cell>
        </row>
        <row r="125">
          <cell r="B125" t="str">
            <v>Externally financed capex</v>
          </cell>
          <cell r="D125">
            <v>0.36</v>
          </cell>
          <cell r="E125" t="str">
            <v>Concessional loans</v>
          </cell>
          <cell r="CO125">
            <v>2.6729509764834049E-2</v>
          </cell>
        </row>
        <row r="126">
          <cell r="B126" t="str">
            <v>Externally financed capex</v>
          </cell>
          <cell r="D126">
            <v>0.47</v>
          </cell>
          <cell r="E126" t="str">
            <v>Concessional loans</v>
          </cell>
          <cell r="CO126">
            <v>2.6729509764834049E-2</v>
          </cell>
        </row>
        <row r="127">
          <cell r="B127" t="str">
            <v>Externally financed capex</v>
          </cell>
          <cell r="D127">
            <v>0.47</v>
          </cell>
          <cell r="E127" t="str">
            <v>Concessional loans</v>
          </cell>
          <cell r="CO127">
            <v>2.6729509764834049E-2</v>
          </cell>
        </row>
        <row r="128">
          <cell r="B128" t="str">
            <v>Externally financed capex</v>
          </cell>
          <cell r="D128">
            <v>0.47</v>
          </cell>
          <cell r="E128" t="str">
            <v>Concessional loans</v>
          </cell>
          <cell r="CO128">
            <v>0</v>
          </cell>
        </row>
        <row r="129">
          <cell r="B129" t="str">
            <v>Externally financed capex</v>
          </cell>
          <cell r="D129">
            <v>0.47</v>
          </cell>
          <cell r="E129" t="str">
            <v>Concessional loans</v>
          </cell>
          <cell r="CO129">
            <v>0</v>
          </cell>
        </row>
        <row r="130">
          <cell r="B130" t="str">
            <v>Externally financed capex</v>
          </cell>
          <cell r="D130">
            <v>0.47</v>
          </cell>
          <cell r="E130" t="str">
            <v>Concessional loans</v>
          </cell>
          <cell r="CO130">
            <v>0</v>
          </cell>
        </row>
        <row r="131">
          <cell r="B131" t="str">
            <v>Externally financed capex</v>
          </cell>
          <cell r="D131">
            <v>0.47</v>
          </cell>
          <cell r="E131" t="str">
            <v>Concessional loans</v>
          </cell>
          <cell r="CO131">
            <v>0</v>
          </cell>
        </row>
        <row r="132">
          <cell r="B132" t="str">
            <v>Externally financed capex</v>
          </cell>
          <cell r="D132">
            <v>0.47</v>
          </cell>
          <cell r="E132" t="str">
            <v>Concessional loans</v>
          </cell>
          <cell r="CO132">
            <v>0</v>
          </cell>
        </row>
        <row r="133">
          <cell r="B133" t="str">
            <v>Externally financed capex</v>
          </cell>
          <cell r="D133">
            <v>0.47</v>
          </cell>
          <cell r="E133" t="str">
            <v>Concessional loans</v>
          </cell>
          <cell r="CO133">
            <v>0</v>
          </cell>
        </row>
        <row r="134">
          <cell r="B134" t="str">
            <v>Externally financed capex</v>
          </cell>
          <cell r="D134">
            <v>0.47</v>
          </cell>
          <cell r="E134" t="str">
            <v>Concessional loans</v>
          </cell>
          <cell r="CO134">
            <v>0</v>
          </cell>
        </row>
        <row r="135">
          <cell r="B135" t="str">
            <v>Externally financed capex</v>
          </cell>
          <cell r="D135">
            <v>0.47</v>
          </cell>
          <cell r="E135" t="str">
            <v>Concessional loans</v>
          </cell>
          <cell r="CO135">
            <v>0</v>
          </cell>
        </row>
        <row r="136">
          <cell r="B136" t="str">
            <v>Externally financed capex</v>
          </cell>
          <cell r="D136">
            <v>0.47</v>
          </cell>
          <cell r="E136" t="str">
            <v>Concessional loans</v>
          </cell>
          <cell r="CO136">
            <v>0</v>
          </cell>
        </row>
        <row r="137">
          <cell r="B137" t="str">
            <v>Externally financed capex</v>
          </cell>
          <cell r="D137">
            <v>0.47</v>
          </cell>
          <cell r="E137" t="str">
            <v>Concessional loans</v>
          </cell>
          <cell r="CO137">
            <v>0</v>
          </cell>
        </row>
        <row r="138">
          <cell r="B138" t="str">
            <v>Externally financed capex</v>
          </cell>
          <cell r="D138">
            <v>0.47</v>
          </cell>
          <cell r="E138" t="str">
            <v>Concessional loans</v>
          </cell>
          <cell r="CO138">
            <v>1.3265180175681322E-2</v>
          </cell>
        </row>
        <row r="139">
          <cell r="B139" t="str">
            <v>Externally financed capex</v>
          </cell>
          <cell r="D139">
            <v>0.47</v>
          </cell>
          <cell r="E139" t="str">
            <v>Concessional loans</v>
          </cell>
          <cell r="CO139">
            <v>1.3265180175681322E-2</v>
          </cell>
        </row>
        <row r="140">
          <cell r="B140" t="str">
            <v>Externally financed capex</v>
          </cell>
          <cell r="D140">
            <v>0.47</v>
          </cell>
          <cell r="E140" t="str">
            <v>Concessional loans</v>
          </cell>
          <cell r="CO140">
            <v>1.3265180175681322E-2</v>
          </cell>
        </row>
        <row r="141">
          <cell r="B141" t="str">
            <v>Externally financed capex</v>
          </cell>
          <cell r="D141">
            <v>0.5</v>
          </cell>
          <cell r="E141" t="str">
            <v>Concessional loans</v>
          </cell>
          <cell r="CO141">
            <v>1.3265180175681322E-2</v>
          </cell>
        </row>
        <row r="142">
          <cell r="B142" t="str">
            <v>Externally financed capex</v>
          </cell>
          <cell r="D142">
            <v>0.5</v>
          </cell>
          <cell r="E142" t="str">
            <v>Concessional loans</v>
          </cell>
          <cell r="CO142">
            <v>1.3265180175681322E-2</v>
          </cell>
        </row>
        <row r="143">
          <cell r="B143" t="str">
            <v>Externally financed capex</v>
          </cell>
          <cell r="D143">
            <v>0.47</v>
          </cell>
          <cell r="E143" t="str">
            <v>Concessional loans</v>
          </cell>
          <cell r="CO143">
            <v>1.3265180175681322E-2</v>
          </cell>
        </row>
        <row r="144">
          <cell r="B144" t="str">
            <v>Externally financed capex</v>
          </cell>
          <cell r="D144">
            <v>0.47</v>
          </cell>
          <cell r="E144" t="str">
            <v>Concessional loans</v>
          </cell>
          <cell r="CO144">
            <v>1.3265180175681322E-2</v>
          </cell>
        </row>
        <row r="145">
          <cell r="B145" t="str">
            <v>Externally financed capex</v>
          </cell>
          <cell r="D145">
            <v>0.47</v>
          </cell>
          <cell r="E145" t="str">
            <v>Concessional loans</v>
          </cell>
          <cell r="CO145">
            <v>1.3265180175681322E-2</v>
          </cell>
        </row>
        <row r="146">
          <cell r="B146" t="str">
            <v>Externally financed capex</v>
          </cell>
          <cell r="D146">
            <v>0.36</v>
          </cell>
          <cell r="E146" t="str">
            <v>Concessional loans</v>
          </cell>
          <cell r="CO146">
            <v>1.3265180175681322E-2</v>
          </cell>
        </row>
        <row r="147">
          <cell r="B147" t="str">
            <v>Externally financed capex</v>
          </cell>
          <cell r="D147">
            <v>0.47</v>
          </cell>
          <cell r="E147" t="str">
            <v>Concessional loans</v>
          </cell>
          <cell r="CO147">
            <v>1.3265180175681322E-2</v>
          </cell>
        </row>
        <row r="148">
          <cell r="B148" t="str">
            <v>Externally financed capex</v>
          </cell>
          <cell r="D148">
            <v>0.47</v>
          </cell>
          <cell r="E148" t="str">
            <v>Concessional loans</v>
          </cell>
          <cell r="CO148">
            <v>1.3265180175681322E-2</v>
          </cell>
        </row>
        <row r="149">
          <cell r="B149" t="str">
            <v>Externally financed capex</v>
          </cell>
          <cell r="D149">
            <v>0.47</v>
          </cell>
          <cell r="E149" t="str">
            <v>Concessional loans</v>
          </cell>
          <cell r="CO149">
            <v>1.3265180175681322E-2</v>
          </cell>
        </row>
        <row r="150">
          <cell r="B150" t="str">
            <v>Externally financed capex</v>
          </cell>
          <cell r="D150">
            <v>0.47</v>
          </cell>
          <cell r="E150" t="str">
            <v>Concessional loans</v>
          </cell>
          <cell r="CO150">
            <v>1.3265180175681322E-2</v>
          </cell>
        </row>
        <row r="151">
          <cell r="B151" t="str">
            <v>Externally financed capex</v>
          </cell>
          <cell r="D151">
            <v>0.47</v>
          </cell>
          <cell r="E151" t="str">
            <v>Concessional loans</v>
          </cell>
          <cell r="CO151">
            <v>1.3265180175681322E-2</v>
          </cell>
        </row>
        <row r="152">
          <cell r="B152" t="str">
            <v>Externally financed capex</v>
          </cell>
          <cell r="D152">
            <v>0.47</v>
          </cell>
          <cell r="E152" t="str">
            <v>Concessional loans</v>
          </cell>
          <cell r="CO152">
            <v>1.3265180175681322E-2</v>
          </cell>
        </row>
        <row r="153">
          <cell r="B153" t="str">
            <v>Externally financed capex</v>
          </cell>
          <cell r="D153">
            <v>0.47</v>
          </cell>
          <cell r="E153" t="str">
            <v>Concessional loans</v>
          </cell>
          <cell r="CO153">
            <v>0</v>
          </cell>
        </row>
        <row r="154">
          <cell r="B154" t="str">
            <v>Externally financed capex</v>
          </cell>
          <cell r="D154">
            <v>0.47</v>
          </cell>
          <cell r="E154" t="str">
            <v>Concessional loans</v>
          </cell>
          <cell r="CO154">
            <v>0.58578801455550378</v>
          </cell>
        </row>
        <row r="155">
          <cell r="B155" t="str">
            <v>Externally financed capex</v>
          </cell>
          <cell r="D155">
            <v>0.47</v>
          </cell>
          <cell r="E155" t="str">
            <v>Concessional loans</v>
          </cell>
          <cell r="CO155">
            <v>0.58578801455550378</v>
          </cell>
        </row>
        <row r="156">
          <cell r="B156" t="str">
            <v>Externally financed capex</v>
          </cell>
          <cell r="D156">
            <v>0.47</v>
          </cell>
          <cell r="E156" t="str">
            <v>Concessional loans</v>
          </cell>
          <cell r="CO156">
            <v>0.58578801455550378</v>
          </cell>
        </row>
        <row r="157">
          <cell r="B157" t="str">
            <v>Externally financed capex</v>
          </cell>
          <cell r="D157">
            <v>0.4</v>
          </cell>
          <cell r="E157" t="str">
            <v>Concessional loans</v>
          </cell>
          <cell r="CO157">
            <v>0.58578801455550378</v>
          </cell>
        </row>
        <row r="158">
          <cell r="B158" t="str">
            <v>Externally financed capex</v>
          </cell>
          <cell r="D158">
            <v>0.4</v>
          </cell>
          <cell r="E158" t="str">
            <v>Concessional loans</v>
          </cell>
          <cell r="CO158">
            <v>0.58578801455550378</v>
          </cell>
        </row>
        <row r="159">
          <cell r="B159" t="str">
            <v>Externally financed capex</v>
          </cell>
          <cell r="D159">
            <v>0.4</v>
          </cell>
          <cell r="E159" t="str">
            <v>Concessional loans</v>
          </cell>
          <cell r="CO159">
            <v>0.58578801455550378</v>
          </cell>
        </row>
        <row r="160">
          <cell r="B160" t="str">
            <v>Externally financed capex</v>
          </cell>
          <cell r="D160">
            <v>0.4</v>
          </cell>
          <cell r="E160" t="str">
            <v>Concessional loans</v>
          </cell>
          <cell r="CO160">
            <v>0.58578801455550378</v>
          </cell>
        </row>
        <row r="161">
          <cell r="B161" t="str">
            <v>Externally financed capex</v>
          </cell>
          <cell r="D161">
            <v>0.4</v>
          </cell>
          <cell r="E161" t="str">
            <v>Concessional loans</v>
          </cell>
          <cell r="CO161">
            <v>0.58578801455550378</v>
          </cell>
        </row>
        <row r="162">
          <cell r="B162" t="str">
            <v>Externally financed capex</v>
          </cell>
          <cell r="D162">
            <v>0.47</v>
          </cell>
          <cell r="E162" t="str">
            <v>Concessional loans</v>
          </cell>
          <cell r="CO162">
            <v>0.58578801455550378</v>
          </cell>
        </row>
        <row r="163">
          <cell r="B163" t="str">
            <v>Externally financed capex</v>
          </cell>
          <cell r="D163">
            <v>0.47</v>
          </cell>
          <cell r="E163" t="str">
            <v>Concessional loans</v>
          </cell>
          <cell r="CO163">
            <v>0.58578801455550378</v>
          </cell>
        </row>
        <row r="164">
          <cell r="B164" t="str">
            <v>Externally financed capex</v>
          </cell>
          <cell r="D164">
            <v>0.47</v>
          </cell>
          <cell r="E164" t="str">
            <v>Concessional loans</v>
          </cell>
          <cell r="CO164">
            <v>0.58578801455550378</v>
          </cell>
        </row>
        <row r="165">
          <cell r="B165" t="str">
            <v>Externally financed capex</v>
          </cell>
          <cell r="D165">
            <v>0.47</v>
          </cell>
          <cell r="E165" t="str">
            <v>Concessional loans</v>
          </cell>
          <cell r="CO165">
            <v>0.58578801455550378</v>
          </cell>
        </row>
        <row r="166">
          <cell r="B166" t="str">
            <v>Externally financed capex</v>
          </cell>
          <cell r="D166">
            <v>0.47</v>
          </cell>
          <cell r="E166" t="str">
            <v>Concessional loans</v>
          </cell>
          <cell r="CO166">
            <v>0.58578801455550378</v>
          </cell>
        </row>
        <row r="167">
          <cell r="B167" t="str">
            <v>Externally financed capex</v>
          </cell>
          <cell r="D167">
            <v>0.47</v>
          </cell>
          <cell r="E167" t="str">
            <v>Concessional loans</v>
          </cell>
          <cell r="CO167">
            <v>0.58578801455550378</v>
          </cell>
        </row>
        <row r="168">
          <cell r="B168" t="str">
            <v>Externally financed capex</v>
          </cell>
          <cell r="D168">
            <v>0.47</v>
          </cell>
          <cell r="E168" t="str">
            <v>Concessional loans</v>
          </cell>
          <cell r="CO168">
            <v>0.58578801455550378</v>
          </cell>
        </row>
        <row r="169">
          <cell r="B169" t="str">
            <v>Externally financed capex</v>
          </cell>
          <cell r="D169">
            <v>0.47</v>
          </cell>
          <cell r="E169" t="str">
            <v>Concessional loans</v>
          </cell>
          <cell r="CO169">
            <v>0.58578801455550378</v>
          </cell>
        </row>
        <row r="170">
          <cell r="B170" t="str">
            <v>Externally financed capex</v>
          </cell>
          <cell r="D170">
            <v>0.47</v>
          </cell>
          <cell r="E170" t="str">
            <v>Concessional loans</v>
          </cell>
          <cell r="CO170">
            <v>0.58578801455550378</v>
          </cell>
        </row>
        <row r="171">
          <cell r="B171" t="str">
            <v>Externally financed capex</v>
          </cell>
          <cell r="D171">
            <v>0.47</v>
          </cell>
          <cell r="E171" t="str">
            <v>Concessional loans</v>
          </cell>
          <cell r="CO171">
            <v>0.58578801455550378</v>
          </cell>
        </row>
        <row r="172">
          <cell r="B172" t="str">
            <v>Externally financed capex</v>
          </cell>
          <cell r="D172">
            <v>0.47</v>
          </cell>
          <cell r="E172" t="str">
            <v>Concessional loans</v>
          </cell>
          <cell r="CO172">
            <v>0.58578801455550378</v>
          </cell>
        </row>
        <row r="173">
          <cell r="B173" t="str">
            <v>Externally financed capex</v>
          </cell>
          <cell r="D173">
            <v>0.47</v>
          </cell>
          <cell r="E173" t="str">
            <v>Concessional loans</v>
          </cell>
          <cell r="CO173">
            <v>0.58578801455550378</v>
          </cell>
        </row>
        <row r="174">
          <cell r="B174" t="str">
            <v>Externally financed capex</v>
          </cell>
          <cell r="D174">
            <v>0.47</v>
          </cell>
          <cell r="E174" t="str">
            <v>Concessional loans</v>
          </cell>
          <cell r="CO174">
            <v>0.58578801455550378</v>
          </cell>
        </row>
        <row r="175">
          <cell r="B175" t="str">
            <v>Externally financed capex</v>
          </cell>
          <cell r="D175">
            <v>0.47</v>
          </cell>
          <cell r="E175" t="str">
            <v>Concessional loans</v>
          </cell>
          <cell r="CO175">
            <v>0.58578801455550378</v>
          </cell>
        </row>
        <row r="176">
          <cell r="B176" t="str">
            <v>Externally financed capex</v>
          </cell>
          <cell r="D176">
            <v>0.47</v>
          </cell>
          <cell r="E176" t="str">
            <v>Concessional loans</v>
          </cell>
          <cell r="CO176">
            <v>0.58578801455550378</v>
          </cell>
        </row>
        <row r="177">
          <cell r="B177" t="str">
            <v>Externally financed capex</v>
          </cell>
          <cell r="D177">
            <v>0.47</v>
          </cell>
          <cell r="E177" t="str">
            <v>Concessional loans</v>
          </cell>
          <cell r="CO177">
            <v>0.58578801455550378</v>
          </cell>
        </row>
        <row r="178">
          <cell r="B178" t="str">
            <v>Externally financed capex</v>
          </cell>
          <cell r="D178">
            <v>0.47</v>
          </cell>
          <cell r="E178" t="str">
            <v>Concessional loans</v>
          </cell>
          <cell r="CO178">
            <v>0.58578801455550378</v>
          </cell>
        </row>
        <row r="179">
          <cell r="B179" t="str">
            <v>Externally financed capex</v>
          </cell>
          <cell r="D179">
            <v>0.47</v>
          </cell>
          <cell r="E179" t="str">
            <v>Concessional loans</v>
          </cell>
          <cell r="CO179">
            <v>0.58578801455550378</v>
          </cell>
        </row>
        <row r="180">
          <cell r="B180" t="str">
            <v>Externally financed capex</v>
          </cell>
          <cell r="D180">
            <v>0.47</v>
          </cell>
          <cell r="E180" t="str">
            <v>Concessional loans</v>
          </cell>
          <cell r="CO180">
            <v>0.58578801455550378</v>
          </cell>
        </row>
        <row r="181">
          <cell r="B181" t="str">
            <v>Externally financed capex</v>
          </cell>
          <cell r="D181">
            <v>0.47</v>
          </cell>
          <cell r="E181" t="str">
            <v>Concessional loans</v>
          </cell>
          <cell r="CO181">
            <v>0.58578801455550378</v>
          </cell>
        </row>
        <row r="182">
          <cell r="B182" t="str">
            <v>Externally financed capex</v>
          </cell>
          <cell r="D182">
            <v>0.47</v>
          </cell>
          <cell r="E182" t="str">
            <v>Concessional loans</v>
          </cell>
          <cell r="CO182">
            <v>0.58578801455550378</v>
          </cell>
        </row>
        <row r="183">
          <cell r="B183" t="str">
            <v>Externally financed capex</v>
          </cell>
          <cell r="D183">
            <v>0.47</v>
          </cell>
          <cell r="E183" t="str">
            <v>Concessional loans</v>
          </cell>
          <cell r="CO183">
            <v>0.74040550580835884</v>
          </cell>
        </row>
        <row r="184">
          <cell r="B184" t="str">
            <v>Externally financed capex</v>
          </cell>
          <cell r="D184">
            <v>0.4</v>
          </cell>
          <cell r="E184" t="str">
            <v>Concessional loans</v>
          </cell>
          <cell r="CO184">
            <v>0.74040550580835884</v>
          </cell>
        </row>
        <row r="185">
          <cell r="B185" t="str">
            <v>Externally financed capex</v>
          </cell>
          <cell r="D185">
            <v>0.4</v>
          </cell>
          <cell r="E185" t="str">
            <v>Concessional loans</v>
          </cell>
          <cell r="CO185">
            <v>0.74040550580835884</v>
          </cell>
        </row>
        <row r="186">
          <cell r="B186" t="str">
            <v>Externally financed capex</v>
          </cell>
          <cell r="D186">
            <v>0.4</v>
          </cell>
          <cell r="E186" t="str">
            <v>Concessional loans</v>
          </cell>
          <cell r="CO186">
            <v>0.74040550580835884</v>
          </cell>
        </row>
        <row r="187">
          <cell r="B187" t="str">
            <v>Externally financed capex</v>
          </cell>
          <cell r="D187">
            <v>0.47</v>
          </cell>
          <cell r="E187" t="str">
            <v>Concessional loans</v>
          </cell>
          <cell r="CO187">
            <v>0.74040550580835884</v>
          </cell>
        </row>
        <row r="188">
          <cell r="B188" t="str">
            <v>Externally financed capex</v>
          </cell>
          <cell r="D188">
            <v>0.4</v>
          </cell>
          <cell r="E188" t="str">
            <v>Concessional loans</v>
          </cell>
          <cell r="CO188">
            <v>0.74040550580835884</v>
          </cell>
        </row>
        <row r="189">
          <cell r="B189" t="str">
            <v>Externally financed capex</v>
          </cell>
          <cell r="D189">
            <v>0.36</v>
          </cell>
          <cell r="E189" t="str">
            <v>Concessional loans</v>
          </cell>
          <cell r="CO189">
            <v>0.74040550580835884</v>
          </cell>
        </row>
        <row r="190">
          <cell r="B190" t="str">
            <v>Externally financed capex</v>
          </cell>
          <cell r="D190">
            <v>0.47</v>
          </cell>
          <cell r="E190" t="str">
            <v>Concessional loans</v>
          </cell>
          <cell r="CO190">
            <v>0.74040550580835884</v>
          </cell>
        </row>
        <row r="191">
          <cell r="B191" t="str">
            <v>Externally financed capex</v>
          </cell>
          <cell r="D191">
            <v>0.47</v>
          </cell>
          <cell r="E191" t="str">
            <v>Concessional loans</v>
          </cell>
          <cell r="CO191">
            <v>0.74040550580835884</v>
          </cell>
        </row>
        <row r="192">
          <cell r="B192" t="str">
            <v>Externally financed capex</v>
          </cell>
          <cell r="D192">
            <v>0.4</v>
          </cell>
          <cell r="E192" t="str">
            <v>Concessional loans</v>
          </cell>
          <cell r="CO192">
            <v>0.74040550580835884</v>
          </cell>
        </row>
        <row r="193">
          <cell r="B193" t="str">
            <v>Externally financed capex</v>
          </cell>
          <cell r="D193">
            <v>0.47</v>
          </cell>
          <cell r="E193" t="str">
            <v>Concessional loans</v>
          </cell>
          <cell r="CO193">
            <v>0.74040550580835884</v>
          </cell>
        </row>
        <row r="194">
          <cell r="B194" t="str">
            <v>Externally financed capex</v>
          </cell>
          <cell r="D194">
            <v>0.47</v>
          </cell>
          <cell r="E194" t="str">
            <v>Concessional loans</v>
          </cell>
          <cell r="CO194">
            <v>0.74040550580835884</v>
          </cell>
        </row>
        <row r="195">
          <cell r="B195" t="str">
            <v>Externally financed capex</v>
          </cell>
          <cell r="D195">
            <v>0.47</v>
          </cell>
          <cell r="E195" t="str">
            <v>Concessional loans</v>
          </cell>
          <cell r="CO195">
            <v>0.74040550580835884</v>
          </cell>
        </row>
        <row r="196">
          <cell r="B196" t="str">
            <v>Externally financed capex</v>
          </cell>
          <cell r="D196">
            <v>0.47</v>
          </cell>
          <cell r="E196" t="str">
            <v>Concessional loans</v>
          </cell>
          <cell r="CO196">
            <v>0.74040550580835884</v>
          </cell>
        </row>
        <row r="197">
          <cell r="B197" t="str">
            <v>Externally financed capex</v>
          </cell>
          <cell r="D197">
            <v>0.47</v>
          </cell>
          <cell r="E197" t="str">
            <v>Concessional loans</v>
          </cell>
          <cell r="CO197">
            <v>0.74040550580835884</v>
          </cell>
        </row>
        <row r="198">
          <cell r="B198" t="str">
            <v>Externally financed capex</v>
          </cell>
          <cell r="D198">
            <v>0.47</v>
          </cell>
          <cell r="E198" t="str">
            <v>Concessional loans</v>
          </cell>
          <cell r="CO198">
            <v>0.74040550580835884</v>
          </cell>
        </row>
        <row r="199">
          <cell r="B199" t="str">
            <v>Externally financed capex</v>
          </cell>
          <cell r="D199">
            <v>0.47</v>
          </cell>
          <cell r="E199" t="str">
            <v>Concessional loans</v>
          </cell>
          <cell r="CO199">
            <v>0.74040550580835884</v>
          </cell>
        </row>
        <row r="200">
          <cell r="B200" t="str">
            <v>Externally financed capex</v>
          </cell>
          <cell r="D200">
            <v>0.47</v>
          </cell>
          <cell r="E200" t="str">
            <v>Concessional loans</v>
          </cell>
          <cell r="CO200">
            <v>0.74040550580835884</v>
          </cell>
        </row>
        <row r="201">
          <cell r="B201" t="str">
            <v>Externally financed capex</v>
          </cell>
          <cell r="D201">
            <v>0.47</v>
          </cell>
          <cell r="E201" t="str">
            <v>Concessional loans</v>
          </cell>
          <cell r="CO201">
            <v>0.74040550580835884</v>
          </cell>
        </row>
        <row r="202">
          <cell r="B202" t="str">
            <v>Externally financed capex</v>
          </cell>
          <cell r="D202">
            <v>0.47</v>
          </cell>
          <cell r="E202" t="str">
            <v>Concessional loans</v>
          </cell>
          <cell r="CO202">
            <v>0.74040550580835884</v>
          </cell>
        </row>
        <row r="203">
          <cell r="B203" t="str">
            <v>Externally financed capex</v>
          </cell>
          <cell r="D203">
            <v>0.47</v>
          </cell>
          <cell r="E203" t="str">
            <v>Concessional loans</v>
          </cell>
          <cell r="CO203">
            <v>0.74040550580835884</v>
          </cell>
        </row>
        <row r="204">
          <cell r="B204" t="str">
            <v>Externally financed capex</v>
          </cell>
          <cell r="D204">
            <v>0.47</v>
          </cell>
          <cell r="E204" t="str">
            <v>Concessional loans</v>
          </cell>
          <cell r="CO204">
            <v>0.74040550580835884</v>
          </cell>
        </row>
        <row r="205">
          <cell r="B205" t="str">
            <v>Externally financed capex</v>
          </cell>
          <cell r="D205">
            <v>0.47</v>
          </cell>
          <cell r="E205" t="str">
            <v>Concessional loans</v>
          </cell>
          <cell r="CO205">
            <v>0.74040550580835884</v>
          </cell>
        </row>
        <row r="206">
          <cell r="B206" t="str">
            <v>Externally financed capex</v>
          </cell>
          <cell r="D206">
            <v>0.47</v>
          </cell>
          <cell r="E206" t="str">
            <v>Concessional loans</v>
          </cell>
          <cell r="CO206">
            <v>0.74040550580835884</v>
          </cell>
        </row>
        <row r="207">
          <cell r="B207" t="str">
            <v>Externally financed capex</v>
          </cell>
          <cell r="D207">
            <v>0.47</v>
          </cell>
          <cell r="E207" t="str">
            <v>Concessional loans</v>
          </cell>
          <cell r="CO207">
            <v>0.74040550580835884</v>
          </cell>
        </row>
        <row r="208">
          <cell r="B208" t="str">
            <v>Externally financed capex</v>
          </cell>
          <cell r="D208">
            <v>0.47</v>
          </cell>
          <cell r="E208" t="str">
            <v>Concessional loans</v>
          </cell>
          <cell r="CO208">
            <v>0.74040550580835884</v>
          </cell>
        </row>
        <row r="209">
          <cell r="B209" t="str">
            <v>Externally financed capex</v>
          </cell>
          <cell r="D209">
            <v>0.47</v>
          </cell>
          <cell r="E209" t="str">
            <v>Concessional loans</v>
          </cell>
          <cell r="CO209">
            <v>0.74040550580835884</v>
          </cell>
        </row>
        <row r="210">
          <cell r="B210" t="str">
            <v>Externally financed capex</v>
          </cell>
          <cell r="D210">
            <v>0.47</v>
          </cell>
          <cell r="E210" t="str">
            <v>Concessional loans</v>
          </cell>
          <cell r="CO210">
            <v>0.74040550580835884</v>
          </cell>
        </row>
        <row r="211">
          <cell r="B211" t="str">
            <v>Externally financed capex</v>
          </cell>
          <cell r="D211">
            <v>1</v>
          </cell>
          <cell r="E211" t="str">
            <v>Grants</v>
          </cell>
          <cell r="CO211">
            <v>0</v>
          </cell>
        </row>
        <row r="212">
          <cell r="B212" t="str">
            <v>Externally financed capex</v>
          </cell>
          <cell r="D212">
            <v>1</v>
          </cell>
          <cell r="E212" t="str">
            <v>Grants</v>
          </cell>
          <cell r="CO212">
            <v>0</v>
          </cell>
        </row>
        <row r="213">
          <cell r="B213" t="str">
            <v>Externally financed capex</v>
          </cell>
          <cell r="D213">
            <v>1</v>
          </cell>
          <cell r="E213" t="str">
            <v>Grants</v>
          </cell>
          <cell r="CO213">
            <v>0</v>
          </cell>
        </row>
        <row r="214">
          <cell r="B214" t="str">
            <v>Externally financed capex</v>
          </cell>
          <cell r="D214">
            <v>1</v>
          </cell>
          <cell r="E214" t="str">
            <v>Grants</v>
          </cell>
          <cell r="CO214">
            <v>0</v>
          </cell>
        </row>
        <row r="215">
          <cell r="B215" t="str">
            <v>Externally financed capex</v>
          </cell>
          <cell r="D215">
            <v>1</v>
          </cell>
          <cell r="E215" t="str">
            <v>Grants</v>
          </cell>
          <cell r="CO215">
            <v>0</v>
          </cell>
        </row>
        <row r="216">
          <cell r="B216" t="str">
            <v>Externally financed capex</v>
          </cell>
          <cell r="D216">
            <v>1</v>
          </cell>
          <cell r="E216" t="str">
            <v>Grants</v>
          </cell>
          <cell r="CO216">
            <v>0</v>
          </cell>
        </row>
        <row r="217">
          <cell r="B217" t="str">
            <v>Externally financed capex</v>
          </cell>
          <cell r="D217">
            <v>1</v>
          </cell>
          <cell r="E217" t="str">
            <v>Grants</v>
          </cell>
          <cell r="CO217">
            <v>0</v>
          </cell>
        </row>
        <row r="218">
          <cell r="B218" t="str">
            <v>Externally financed capex</v>
          </cell>
          <cell r="D218">
            <v>1</v>
          </cell>
          <cell r="E218" t="str">
            <v>Grants</v>
          </cell>
          <cell r="CO218">
            <v>0</v>
          </cell>
        </row>
        <row r="219">
          <cell r="B219" t="str">
            <v>Externally financed capex</v>
          </cell>
          <cell r="D219">
            <v>1</v>
          </cell>
          <cell r="E219" t="str">
            <v>Grants</v>
          </cell>
          <cell r="CO219">
            <v>0</v>
          </cell>
        </row>
        <row r="220">
          <cell r="B220" t="str">
            <v>Externally financed capex</v>
          </cell>
          <cell r="D220">
            <v>1</v>
          </cell>
          <cell r="E220" t="str">
            <v>Grants</v>
          </cell>
          <cell r="CO220">
            <v>0</v>
          </cell>
        </row>
        <row r="221">
          <cell r="B221" t="str">
            <v>Externally financed capex</v>
          </cell>
          <cell r="D221">
            <v>1</v>
          </cell>
          <cell r="E221" t="str">
            <v>Grants</v>
          </cell>
          <cell r="CO221">
            <v>0</v>
          </cell>
        </row>
        <row r="222">
          <cell r="B222" t="str">
            <v>Externally financed capex</v>
          </cell>
          <cell r="D222">
            <v>1</v>
          </cell>
          <cell r="E222" t="str">
            <v>Grants</v>
          </cell>
          <cell r="CO222">
            <v>0</v>
          </cell>
        </row>
        <row r="223">
          <cell r="B223" t="str">
            <v>Externally financed capex</v>
          </cell>
          <cell r="D223">
            <v>1</v>
          </cell>
          <cell r="E223" t="str">
            <v>Grants</v>
          </cell>
          <cell r="CO223">
            <v>0</v>
          </cell>
        </row>
        <row r="224">
          <cell r="B224" t="str">
            <v>Externally financed capex</v>
          </cell>
          <cell r="D224">
            <v>1</v>
          </cell>
          <cell r="E224" t="str">
            <v>Grants</v>
          </cell>
          <cell r="CO22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Analysis"/>
      <sheetName val="MDAMYC"/>
      <sheetName val="FY 2021-22"/>
      <sheetName val="MT"/>
      <sheetName val="MTEF 21-22"/>
      <sheetName val="MTEF 22-23"/>
      <sheetName val="External MTEF 23-25 "/>
      <sheetName val="Definitions_MDAProjectDetails"/>
      <sheetName val="Definitions_MDAProjectNarrative"/>
      <sheetName val="Pivot Tables - Hidden"/>
      <sheetName val="Project List"/>
      <sheetName val="MTEF Check"/>
      <sheetName val="MDAProjectDetails"/>
      <sheetName val="MDAProjectNarrative"/>
      <sheetName val="MDAsProjectsMaster"/>
      <sheetName val="Dropdowns"/>
      <sheetName val="MTEF 20-21"/>
      <sheetName val="Dropdowns2"/>
      <sheetName val="ProjectsBudget"/>
      <sheetName val="MDAs"/>
      <sheetName val="Analysis MoH MY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MDAMYC"/>
      <sheetName val="Definitions_MDAProjectDetails"/>
      <sheetName val="Definitions_MDAProjectNarrative"/>
      <sheetName val="Pivot Tables - Hidden"/>
      <sheetName val="Project List"/>
      <sheetName val="MTEF Check"/>
      <sheetName val="MDAProjectDetails"/>
      <sheetName val="MDAProjectNarrative"/>
      <sheetName val="MDAsProjectsMaster"/>
      <sheetName val="Dropdowns"/>
      <sheetName val="MTEF 20-21"/>
      <sheetName val="MTEF 21-22"/>
      <sheetName val="MTEF 22-23"/>
      <sheetName val="External MTEF 23-25 "/>
      <sheetName val="Dropdowns2"/>
      <sheetName val="ProjectsBudget"/>
      <sheetName val="MDAs"/>
      <sheetName val="MYC Template Uganda Workshop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ns"/>
      <sheetName val="revenue"/>
      <sheetName val="GOU spending"/>
      <sheetName val="projects"/>
      <sheetName val="ext debt service"/>
      <sheetName val="fiscal shs"/>
      <sheetName val="fiscal%GDP"/>
      <sheetName val="fiscal xHIPC"/>
      <sheetName val="monetary "/>
      <sheetName val="BoP "/>
      <sheetName val="BOU fx cashflow"/>
      <sheetName val="fiscal impulse"/>
      <sheetName val="SEI "/>
      <sheetName val="dashboard"/>
      <sheetName val="dashboard data"/>
    </sheetNames>
    <sheetDataSet>
      <sheetData sheetId="0"/>
      <sheetData sheetId="1">
        <row r="3">
          <cell r="C3" t="str">
            <v>2000/1</v>
          </cell>
          <cell r="D3" t="str">
            <v>2001/2</v>
          </cell>
          <cell r="E3" t="str">
            <v>2002/3</v>
          </cell>
          <cell r="F3" t="str">
            <v>2003/4</v>
          </cell>
          <cell r="G3" t="str">
            <v>2004/5</v>
          </cell>
          <cell r="H3" t="str">
            <v>2005/6</v>
          </cell>
          <cell r="I3" t="str">
            <v>2006/7</v>
          </cell>
          <cell r="J3" t="str">
            <v>2007/8</v>
          </cell>
          <cell r="K3" t="str">
            <v>2008/9</v>
          </cell>
          <cell r="L3" t="str">
            <v>2009/10</v>
          </cell>
          <cell r="M3" t="str">
            <v>2010/11</v>
          </cell>
          <cell r="N3" t="str">
            <v>2011/12</v>
          </cell>
          <cell r="O3" t="str">
            <v>2012/13</v>
          </cell>
          <cell r="P3" t="str">
            <v>2013/14</v>
          </cell>
          <cell r="Q3" t="str">
            <v>2014/15</v>
          </cell>
          <cell r="R3" t="str">
            <v>2015/16</v>
          </cell>
          <cell r="S3" t="str">
            <v>2016/17</v>
          </cell>
          <cell r="T3" t="str">
            <v>2017/18</v>
          </cell>
          <cell r="U3" t="str">
            <v>2018/19</v>
          </cell>
          <cell r="V3" t="str">
            <v>2019/20</v>
          </cell>
          <cell r="W3" t="str">
            <v>2020/21</v>
          </cell>
          <cell r="X3" t="str">
            <v>2021/22</v>
          </cell>
          <cell r="Y3" t="str">
            <v>2022/23</v>
          </cell>
          <cell r="Z3" t="str">
            <v>2023/24</v>
          </cell>
        </row>
      </sheetData>
      <sheetData sheetId="2"/>
      <sheetData sheetId="3">
        <row r="3">
          <cell r="T3">
            <v>612</v>
          </cell>
        </row>
      </sheetData>
      <sheetData sheetId="4">
        <row r="21">
          <cell r="E21">
            <v>179.63136936266801</v>
          </cell>
        </row>
      </sheetData>
      <sheetData sheetId="5">
        <row r="16">
          <cell r="C16">
            <v>53.709584149342312</v>
          </cell>
        </row>
      </sheetData>
      <sheetData sheetId="6">
        <row r="5">
          <cell r="Q5">
            <v>11059.112038022891</v>
          </cell>
        </row>
      </sheetData>
      <sheetData sheetId="7">
        <row r="5">
          <cell r="Q5">
            <v>0.11046212012289182</v>
          </cell>
        </row>
      </sheetData>
      <sheetData sheetId="8">
        <row r="5">
          <cell r="B5">
            <v>9772.8659561755903</v>
          </cell>
        </row>
      </sheetData>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EF 20-21"/>
      <sheetName val="MTEF"/>
      <sheetName val="Vote 20-21"/>
      <sheetName val="MTEF 21-22"/>
      <sheetName val="MTEF 22-23"/>
      <sheetName val="External Vote Summary "/>
      <sheetName val="Program Summary"/>
      <sheetName val="projects shs"/>
      <sheetName val="External"/>
      <sheetName val="1"/>
      <sheetName val="chk2"/>
      <sheetName val="Statutory"/>
      <sheetName val="Changes 18-19"/>
      <sheetName val="Annex 1c"/>
      <sheetName val="Summary MTEF (2)"/>
      <sheetName val="old"/>
      <sheetName val="chk"/>
    </sheetNames>
    <sheetDataSet>
      <sheetData sheetId="0"/>
      <sheetData sheetId="1">
        <row r="195">
          <cell r="J195">
            <v>5100.8785848361313</v>
          </cell>
          <cell r="K195">
            <v>13539.471853379135</v>
          </cell>
          <cell r="L195">
            <v>7284.0968989460862</v>
          </cell>
          <cell r="M195">
            <v>8574.8737174137132</v>
          </cell>
          <cell r="N195">
            <v>25924.447337161353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Aziz, Imran Atif" id="{431048B9-1FA7-44AC-99A4-654F6CC71253}" userId="S::IAziz@imf.org::ff6fadc7-b98a-4535-87e5-75b9c95bbbe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Belinda P. Bisamaza" refreshedDate="44267.558122916664" createdVersion="6" refreshedVersion="6" minRefreshableVersion="3" recordCount="216">
  <cacheSource type="worksheet">
    <worksheetSource name="MasterTable"/>
  </cacheSource>
  <cacheFields count="27">
    <cacheField name="Source.Name" numFmtId="0">
      <sharedItems/>
    </cacheField>
    <cacheField name="Project Code and Name " numFmtId="0">
      <sharedItems count="141">
        <s v="1143 Isimba HPP"/>
        <s v="1183 Karuma Hydoelectricity Power Project"/>
        <s v="1350 Muzizi Hydro Power Project"/>
        <s v="1351 Nyagak III Hydro Power Project"/>
        <s v="1221 Opuyo Moroto Interconnection Project"/>
        <s v="1259 Kampala-Entebbe Expansion Project"/>
        <s v="1388 Mbale-Bulambuli (Atari) 132KV transmission line and Associated Substation"/>
        <s v="1391 Lira-Gulu-Agago 132KV transmission project"/>
        <s v="1409 Mirama - Kabale 132kv Transmission Project"/>
        <s v="1426 Grid Expansion and Reinforcement Project -Lira, Gulu, Nebbi to Arua Transmission Line"/>
        <s v="1428 Energy for Rural Transformation (ERT) Phase III"/>
        <s v="1429 ORIO Mini Hydro Power and Rural Electrification Project "/>
        <s v="1492 Kampala Metropolitan Transmission System Improvement Project"/>
        <s v="1497 Masaka-Mbarara Grid Expansion Line"/>
        <s v="1654 Power Supply to industrial parks and Power  Transmission Line Extension"/>
        <s v="1655 Kikagati Nsongezi Transmission Line"/>
        <s v="1184 Construction of Oil Refinery"/>
        <s v="1352 Midstream Petroleum Infrastructure Development Project"/>
        <s v="1355 Strengthening the Development and Production Phases of Oil and Gas Sector"/>
        <s v="1410 Skills for Oil and Gas Africa (SOGA)"/>
        <s v="1610 Liquefied Petroleum Gas (LPG) Supply and Infrastructure Intervention"/>
        <s v="1611 Petroleum Exploration and Promotion Frontier Basins"/>
        <s v="1353 Mineral Wealth and Mining Infrastructure Development"/>
        <s v="1542 Airborne Geophysical Survey and Geological Mapping of Karamoja"/>
        <s v="1594 Retooling of Ministry of Energy and Mineral Development (PhaseII)"/>
        <s v="1344 Renovation and Equipping of Kayunga and Yumbe General Hospitals"/>
        <s v="0220 Global Fund for AIDS, TB and Malaria"/>
        <s v="1436 GAVI Vaccines and Health Sector Development Plan Support"/>
        <s v="1440 Uganda Reproductive Maternal and Child Health Services Improvement Project"/>
        <s v="1539 Italian Support to Health Sector Development Plan- Karamoja Infrastructure Development Project Phase II"/>
        <s v="1243 Rehabilitation and Construction of General Hospitals"/>
        <s v="1566 Retooling of Ministry of Health"/>
        <s v="1519 Strengthening Capacity of Regional Referral Hospitals-DRIVE"/>
        <s v="1600 Retooling of Ministry of ICT &amp; National Guidance"/>
        <s v="0890 Support to Justice Law and Order Sector"/>
        <s v="1242 Construction of the JLOS House"/>
        <s v="1647 Retooling of Ministry of Justice and Constitutional Affairs"/>
        <s v="1514 Uganda Support to Municipal Infrastructure Development (USMID II)"/>
        <s v="1528 Hoima Oil Refinery Proximity Development Master Plan"/>
        <s v="1632 Retooling of Ministry of Lands, Housing and Urban Development"/>
        <s v="1310 Albertine Region Sustainable Development Project -012"/>
        <s v="1289 Competitiveness and Enterprise Development Project [CEDP] -012"/>
        <s v="1511 Kiira Motors Corporation"/>
        <s v="1597 Retooling of Ministry of Science, Technology and Innovation"/>
        <s v="1513 National Science, Technology, Engineering and Innovation Skills Enhancement Project"/>
        <s v="1609 Retooling of Ministry of Tourism, Wildlife and Antiquitties "/>
        <s v="1699 Development of Museums and Heritage Sites for Cultural Tourism (Phase II) -022"/>
        <s v="1700 Mt. Rwenzori Tourism Infrastructure Development Project Phase II"/>
        <s v="1701 Development of Source of the Nile Project (Phase II)"/>
        <s v="0368 Development"/>
        <s v="1650 Retooling of Mbarara University of Science and Technology"/>
        <s v="1495 Rural Industrial Development Project (OVOP Project Phase III)"/>
        <s v="1689 Retooling of Ministry of Trade and Industry"/>
        <s v="1688 Retooling of Uganda Export Promotion Board"/>
        <s v="0265 Upgrade Atiak - Moyo-Afoji (104km)"/>
        <s v="0267 Improvement of Ferry Services"/>
        <s v="0952 Design Masaka-Bukakata road"/>
        <s v="1040 Design Kapchorwa-Suam road (77km)"/>
        <s v="1041 Design Kyenjojo-Hoima-Masindi-Kigumba (238km)"/>
        <s v="1176 Hoima-Wanseko Road (83Km)"/>
        <s v="1274 Musita-Lumino-Busia/Majanji Road"/>
        <s v="1275 Olwiyo-Gulu-Kitgum Road"/>
        <s v="1276 Mubende-Kakumiro-Kagadi Road"/>
        <s v="1277 Kampala Northern Bypass Phase 2"/>
        <s v="1279 Seeta-Kyaliwajjala-Matugga-Wakiso-Buloba-Nsangi"/>
        <s v="1280 Najjanankumbi-Busabala Road and Nambole-Namilyango-Seeta"/>
        <s v="1281 Tirinyi-Pallisa-Kumi/Kamonkoli Road"/>
        <s v="1310 Albertine Region Sustainable Development Project -113"/>
        <s v="1311 Upgrading Rukungiri-Kihihi-Ishasha/Kanungu Road"/>
        <s v="1312 Upgrading Mbale-Bubulo-Lwakhakha Road"/>
        <s v="1313 North Eastern Road-Corridor Asset Management Project"/>
        <s v="1319 Kampala Flyover"/>
        <s v="1320  Construction of 66 Selected Bridges"/>
        <s v="1322 Upgrading of Muyembe-Nakapiripirit (92 km)"/>
        <s v="1402 Rwenkunye- Apac- Lira-Acholibur road"/>
        <s v="1403 Soroti-Katakwi-Moroto-Lokitonyala road"/>
        <s v="1404 Kibuye- Busega- Mpigi"/>
        <s v="1490 Luwero- Butalangu"/>
        <s v="1506 Land Acquisition"/>
        <s v="1536 Upgrading of Kitala-Gerenge Road"/>
        <s v="1537 Upgrading of Kaya-Yei Road"/>
        <s v="1543 Kihihi-Butogota-Bohoma Road"/>
        <s v="1544 Kisoro-Lake Bunyonyi Road"/>
        <s v="1545 Kisoro-Mgahinga National Park Headquarters Road"/>
        <s v="1546 Kisoro-Nkuringo-Rubugiri-Muko Road"/>
        <s v="1550 Namunsi-Sironko/Muyembe-Kapchorwa Section I"/>
        <s v="1552 Hoima-Katunguru Road"/>
        <s v="1554 Nakalama-Tirinyi-Mbale Road"/>
        <s v="1656 Construction of Muko - Katuna Road (66.6 km)"/>
        <s v="1657 Moyo-Yumbe-Koboko road"/>
        <s v="1692 Rehabilitation of Masaka Town Roads (7.3 KM)"/>
        <s v="1693 Rehabilitation of Kampala-Jinja Highway(72 KM)"/>
        <s v="1694 Rehabilitation  of Mityana-Mubende Road(100KM)"/>
        <s v="1695 Rehabilitation of Packwach-Nebbi Section 2 Road(33KM)"/>
        <s v="1284 Development of new Kampala Port in Bukasa"/>
        <s v="1373 Entebbe Airport Rehabilitation Phase 1"/>
        <s v="1489 Development of Kabaale Airport"/>
        <s v="1456 Multinational Lake Victoria Maritime Comm. &amp;Transport Project"/>
        <s v="1097 New Standard Gauge Railway Line"/>
        <s v="1096 Support to Computerised Driving Permits"/>
        <s v="1430 Bus Rapid Transit for Greater Kampala Metropolitan Area"/>
        <s v="1512 Uganda National Airline Project"/>
        <s v="1421 Development of the Construction Industry"/>
        <s v="1558 Rural Bridges Infrastructure Development"/>
        <s v="1563 URC Capacity Building Project "/>
        <s v="1564 Community Roads Improvement Project"/>
        <s v="1617 Retooling of Ministry of Works and Transport"/>
        <s v="1659 Rehabilitation of the Tororo – Gulu railway line"/>
        <s v="1703 Rehabilitation of District Roads Project"/>
        <s v="1705 Rehabilitaion and Upgrading of Urban Roads Project"/>
        <s v="1675 Retooling of Uganda National Bureau of Standards"/>
        <s v="1676 Retooling of Uganda Tourism Board"/>
        <s v="1241 Development of Uganda Petroleum Institute Kigumba"/>
        <s v="1308 Development and Improvement of Special Needs Education (SNE)"/>
        <s v="1310 Albertine Region Sustainable Development Project -013"/>
        <s v="1338 Skills Development Project -013"/>
        <s v="1540 Development of Secondary Education Phase II"/>
        <s v="1339 Emergency Construction of Primary Schools Phase II  "/>
        <s v="1435 Retooling and Capacity Development for Ministry of Education and Sports"/>
        <s v="1433 IDB funded Technical and Vocational Education and Training Phase III"/>
        <s v="1432 OFID Funded Vocational Project Phase II"/>
        <s v="1412 The Technical Vocational Education and Training (TVET-LEAD)"/>
        <s v="1491 African Centers of Excellence II"/>
        <s v="1665 Uganda Secondary Education Expansion Project"/>
        <s v="1673 Retooling of Office of the Prime Minister "/>
        <s v="1486 Development Innitiative for Northern Uganda"/>
        <s v="1499 Development Response for Displacement IMPACTS Project (DRDIP)"/>
        <s v="1262 Rural Electrification Project"/>
        <s v="1428 Energy for Rural Transformation (ERT) Phase III -REA"/>
        <s v="1517 Bridging the demand gap through the accelerated rural electrification Programme (TBEA)"/>
        <s v="1518 Uganda Rural Electrification Access Project (UREAP)"/>
        <s v="1680 Retooling of Soroti University"/>
        <s v="1419 Support to Soroti University Infrastructure Development"/>
        <s v="1360 Markets and Agricultural Trade Improvements Programme (MATIP 2)"/>
        <s v="1381 Restoration of Livelihoods in Northern Region (PRELNOR)"/>
        <s v="1509 Local Economic Growth (LEGS) Support Project"/>
        <s v="1652 Retooling of Ministry of Local Government"/>
        <s v="1704 Development of Local Government's Revenue Collection and Management Information System"/>
        <s v="1641 Retooling of Ministry of Internal Affairs"/>
        <s v="1593 Retooling of Internal Security Organization"/>
        <s v="1589 Retooling of Office of the President"/>
      </sharedItems>
    </cacheField>
    <cacheField name="Check link  to Mother" numFmtId="0">
      <sharedItems/>
    </cacheField>
    <cacheField name="Vote" numFmtId="0">
      <sharedItems count="23">
        <s v="017"/>
        <s v="014"/>
        <s v="020"/>
        <s v="007"/>
        <s v="012"/>
        <s v="023"/>
        <s v="022"/>
        <s v="137"/>
        <s v="015"/>
        <s v="306"/>
        <s v="113"/>
        <s v="016"/>
        <s v="154"/>
        <s v="117"/>
        <s v="013"/>
        <s v="003"/>
        <s v="123"/>
        <s v="308"/>
        <s v="011"/>
        <s v="009"/>
        <s v="001"/>
        <s v="" u="1"/>
        <e v="#N/A" u="1"/>
      </sharedItems>
    </cacheField>
    <cacheField name="Vote Name" numFmtId="0">
      <sharedItems count="21">
        <s v="Ministry of Energy and Mineral Development"/>
        <s v="Ministry of Health"/>
        <s v="Ministry of ICT and National Guidance"/>
        <s v="Ministry of Justice and Constitutional Affairs"/>
        <s v="Ministry of Lands, Housing &amp; Urban Development"/>
        <s v="Ministry of Science, Technology and Innovation"/>
        <s v="Ministry of Tourism, Wildlife and Antiquities"/>
        <s v="Mbarara University"/>
        <s v="Ministry of Trade, Industry and Cooperatives"/>
        <s v="Uganda Export Promotion Board"/>
        <s v="Uganda National Roads Authority"/>
        <s v="Ministry of Works and Transport"/>
        <s v="Uganda National Bureau of Standards"/>
        <s v="Uganda Tourism Board"/>
        <s v="Ministry of Education and Sports"/>
        <s v="Office of the Prime Minister"/>
        <s v="Rural Electrification Agency (REA)"/>
        <s v="Soroti University"/>
        <s v="Ministry of Local Government"/>
        <s v="Ministry of Internal Affairs"/>
        <s v="Office of the President"/>
      </sharedItems>
    </cacheField>
    <cacheField name="Vote Code and Name " numFmtId="0">
      <sharedItems count="21">
        <s v="017 Ministry of Energy and Mineral Development"/>
        <s v="014 Ministry of Health"/>
        <s v="020 Ministry of ICT and National Guidance"/>
        <s v="007 Ministry of Justice and Constitutional Affairs"/>
        <s v="012 Ministry of Lands, Housing &amp; Urban Development"/>
        <s v="023 Ministry of Science, Technology and Innovation"/>
        <s v="022 Ministry of Tourism, Wildlife and Antiquities"/>
        <s v="137 Mbarara University"/>
        <s v="015 Ministry of Trade, Industry and Cooperatives"/>
        <s v="306 Uganda Export Promotion Board"/>
        <s v="113 Uganda National Roads Authority"/>
        <s v="016 Ministry of Works and Transport"/>
        <s v="154 Uganda National Bureau of Standards"/>
        <s v="117 Uganda Tourism Board"/>
        <s v="013 Ministry of Education and Sports"/>
        <s v="003 Office of the Prime Minister"/>
        <s v="123 Rural Electrification Agency (REA)"/>
        <s v="308 Soroti University"/>
        <s v="011 Ministry of Local Government"/>
        <s v="009 Ministry of Internal Affairs"/>
        <s v="001 Office of the President"/>
      </sharedItems>
    </cacheField>
    <cacheField name="Funding Source" numFmtId="0">
      <sharedItems containsBlank="1" count="3">
        <s v="GoU Funded"/>
        <s v="External Financing"/>
        <m/>
      </sharedItems>
    </cacheField>
    <cacheField name="Start Date _x000a_dd/mm/yyyy" numFmtId="0">
      <sharedItems containsNonDate="0" containsDate="1" containsString="0" containsBlank="1" minDate="2010-07-01T00:00:00" maxDate="2021-07-02T00:00:00"/>
    </cacheField>
    <cacheField name="End Date _x000a_dd/mm/yyyy" numFmtId="0">
      <sharedItems containsNonDate="0" containsDate="1" containsString="0" containsBlank="1" minDate="2021-06-30T00:00:00" maxDate="2026-07-01T00:00:00"/>
    </cacheField>
    <cacheField name="Project Status" numFmtId="0">
      <sharedItems containsBlank="1"/>
    </cacheField>
    <cacheField name="Project Classification" numFmtId="0">
      <sharedItems containsBlank="1"/>
    </cacheField>
    <cacheField name="Spending since start of project" numFmtId="167">
      <sharedItems containsString="0" containsBlank="1" containsNumber="1" containsInteger="1" minValue="0" maxValue="4492800000000"/>
    </cacheField>
    <cacheField name="Approved Budget FY 2020/21" numFmtId="167">
      <sharedItems containsString="0" containsBlank="1" containsNumber="1" containsInteger="1" minValue="0" maxValue="743706624600"/>
    </cacheField>
    <cacheField name="Estimate of Arrears at end of the current FY 2020/21 (value)" numFmtId="167">
      <sharedItems containsString="0" containsBlank="1" containsNumber="1" containsInteger="1" minValue="0" maxValue="83304597757"/>
    </cacheField>
    <cacheField name="Counterpart Funding signed agreements only (value next FY)" numFmtId="167">
      <sharedItems containsString="0" containsBlank="1" containsNumber="1" containsInteger="1" minValue="0" maxValue="37965322600"/>
    </cacheField>
    <cacheField name="Cash Required for Commitments (value next FY)" numFmtId="167">
      <sharedItems containsString="0" containsBlank="1" containsNumber="1" containsInteger="1" minValue="0" maxValue="703030000000"/>
    </cacheField>
    <cacheField name="Arrears + All Contractual Commitments (value next FY)" numFmtId="167">
      <sharedItems containsString="0" containsBlank="1" containsNumber="1" containsInteger="1" minValue="0" maxValue="703030000000"/>
    </cacheField>
    <cacheField name="FY1 (FY22-23)" numFmtId="167">
      <sharedItems containsString="0" containsBlank="1" containsNumber="1" containsInteger="1" minValue="0" maxValue="465000000000"/>
    </cacheField>
    <cacheField name="FY2 (FY23-24)" numFmtId="167">
      <sharedItems containsString="0" containsBlank="1" containsNumber="1" containsInteger="1" minValue="0" maxValue="399600000000"/>
    </cacheField>
    <cacheField name="FY3 (FY24-25)" numFmtId="167">
      <sharedItems containsString="0" containsBlank="1" containsNumber="1" containsInteger="1" minValue="0" maxValue="391504940640"/>
    </cacheField>
    <cacheField name="FY4 (FY25-26)" numFmtId="167">
      <sharedItems containsString="0" containsBlank="1" containsNumber="1" containsInteger="1" minValue="0" maxValue="264918343166"/>
    </cacheField>
    <cacheField name="Outstanding Commitments" numFmtId="167">
      <sharedItems containsString="0" containsBlank="1" containsNumber="1" containsInteger="1" minValue="0" maxValue="0"/>
    </cacheField>
    <cacheField name="(Calculated Value)" numFmtId="167">
      <sharedItems containsSemiMixedTypes="0" containsString="0" containsNumber="1" containsInteger="1" minValue="0" maxValue="5147490000000"/>
    </cacheField>
    <cacheField name="Approved Project Costs by DC as indicated in the PIP" numFmtId="167">
      <sharedItems containsString="0" containsBlank="1" containsNumber="1" containsInteger="1" minValue="0" maxValue="9200000000000"/>
    </cacheField>
    <cacheField name="Comments from MDA (Important information or assumptions when populating the template)" numFmtId="0">
      <sharedItems containsBlank="1" longText="1"/>
    </cacheField>
    <cacheField name="PIM Process (Four Gates)" numFmtId="0">
      <sharedItems containsNonDate="0" containsString="0" containsBlank="1"/>
    </cacheField>
    <cacheField name="Select for first call on resources? (Y/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elinda P. Bisamaza" refreshedDate="44267.558124074072" createdVersion="6" refreshedVersion="6" minRefreshableVersion="3" recordCount="369">
  <cacheSource type="worksheet">
    <worksheetSource name="PAProjects"/>
  </cacheSource>
  <cacheFields count="30">
    <cacheField name="Sn" numFmtId="0">
      <sharedItems/>
    </cacheField>
    <cacheField name="LINKING_CODE" numFmtId="0">
      <sharedItems/>
    </cacheField>
    <cacheField name="Adjusted Linking Codes" numFmtId="0">
      <sharedItems/>
    </cacheField>
    <cacheField name="Linked" numFmtId="0">
      <sharedItems/>
    </cacheField>
    <cacheField name="Sector Code" numFmtId="0">
      <sharedItems/>
    </cacheField>
    <cacheField name="Sector Name" numFmtId="0">
      <sharedItems/>
    </cacheField>
    <cacheField name="Vote Code" numFmtId="0">
      <sharedItems/>
    </cacheField>
    <cacheField name="Program Code" numFmtId="0">
      <sharedItems count="19">
        <s v="06"/>
        <s v="08"/>
        <s v="13"/>
        <s v="04"/>
        <s v="14"/>
        <s v="15"/>
        <s v="11"/>
        <s v="05"/>
        <s v="12"/>
        <s v="16"/>
        <s v="10"/>
        <s v="01"/>
        <s v="02"/>
        <s v="07"/>
        <s v="17"/>
        <s v="18"/>
        <s v="03"/>
        <s v="09"/>
        <e v="#N/A" u="1"/>
      </sharedItems>
    </cacheField>
    <cacheField name="Program" numFmtId="0">
      <sharedItems count="18">
        <s v="Human Capital Development"/>
        <s v="Integrated Transport Infrastructure and Services"/>
        <s v="Public Sector Transformation"/>
        <s v="Digital Transformation"/>
        <s v="Regional Development"/>
        <s v="Sustainable Energy Development"/>
        <s v="Petroleum Development"/>
        <s v="Governance and Security Strengthening"/>
        <s v="Private Sector Development"/>
        <s v="Sustainable Urban Development"/>
        <s v="Mineral Development"/>
        <s v="Agro – Industrialization"/>
        <s v="Community Mobilization and Mindset Change"/>
        <s v="Innovation, Technology Development &amp; Transfer"/>
        <s v="Tourism Development"/>
        <s v="Water, Climate Change and ENR Management"/>
        <s v="Development Plan Implementation "/>
        <s v="Manufacturing"/>
      </sharedItems>
    </cacheField>
    <cacheField name="Project Code" numFmtId="0">
      <sharedItems/>
    </cacheField>
    <cacheField name="Project Name" numFmtId="0">
      <sharedItems/>
    </cacheField>
    <cacheField name="Status" numFmtId="0">
      <sharedItems count="4">
        <s v="Ongoing"/>
        <s v="Retooling"/>
        <s v="New"/>
        <s v="No info" u="1"/>
      </sharedItems>
    </cacheField>
    <cacheField name="START DATE " numFmtId="0">
      <sharedItems containsSemiMixedTypes="0" containsNonDate="0" containsDate="1" containsString="0" minDate="2006-07-01T00:00:00" maxDate="2021-07-02T00:00:00"/>
    </cacheField>
    <cacheField name="END DATE" numFmtId="0">
      <sharedItems containsDate="1" containsMixedTypes="1" minDate="2022-06-30T00:00:00" maxDate="2026-07-01T00:00:00"/>
    </cacheField>
    <cacheField name="G.O.U" numFmtId="0">
      <sharedItems containsString="0" containsBlank="1" containsNumber="1" minValue="0" maxValue="13100"/>
    </cacheField>
    <cacheField name="Donor" numFmtId="0">
      <sharedItems containsString="0" containsBlank="1" containsNumber="1" minValue="0" maxValue="519937"/>
    </cacheField>
    <cacheField name="Total" numFmtId="0">
      <sharedItems containsSemiMixedTypes="0" containsString="0" containsNumber="1" minValue="0.96" maxValue="519937"/>
    </cacheField>
    <cacheField name="Arrears" numFmtId="0">
      <sharedItems containsSemiMixedTypes="0" containsString="0" containsNumber="1" minValue="0" maxValue="83.304597756999996"/>
    </cacheField>
    <cacheField name="GOU 21/22" numFmtId="0">
      <sharedItems containsString="0" containsBlank="1" containsNumber="1" minValue="0" maxValue="3275"/>
    </cacheField>
    <cacheField name="DONOR 21/22" numFmtId="0">
      <sharedItems containsString="0" containsBlank="1" containsNumber="1" minValue="0" maxValue="725.2"/>
    </cacheField>
    <cacheField name="Total 21/22" numFmtId="0">
      <sharedItems containsSemiMixedTypes="0" containsString="0" containsNumber="1" minValue="0" maxValue="3275"/>
    </cacheField>
    <cacheField name="GOU 22/23" numFmtId="0">
      <sharedItems containsString="0" containsBlank="1" containsNumber="1" minValue="0" maxValue="3275"/>
    </cacheField>
    <cacheField name="DONOR 22/23" numFmtId="0">
      <sharedItems containsString="0" containsBlank="1" containsNumber="1" minValue="0" maxValue="465"/>
    </cacheField>
    <cacheField name="Total 22/23" numFmtId="0">
      <sharedItems containsSemiMixedTypes="0" containsString="0" containsNumber="1" minValue="0" maxValue="3275"/>
    </cacheField>
    <cacheField name="GOU 23/24" numFmtId="0">
      <sharedItems containsString="0" containsBlank="1" containsNumber="1" minValue="0" maxValue="3275"/>
    </cacheField>
    <cacheField name="DONOR 23/24" numFmtId="0">
      <sharedItems containsString="0" containsBlank="1" containsNumber="1" minValue="0" maxValue="399.6"/>
    </cacheField>
    <cacheField name="Total 23/24" numFmtId="0">
      <sharedItems containsString="0" containsBlank="1" containsNumber="1" minValue="0" maxValue="3275"/>
    </cacheField>
    <cacheField name="GOU 24/25" numFmtId="0">
      <sharedItems containsString="0" containsBlank="1" containsNumber="1" minValue="0" maxValue="3275"/>
    </cacheField>
    <cacheField name="DONOR 24/25" numFmtId="0">
      <sharedItems containsString="0" containsBlank="1" containsNumber="1" minValue="0" maxValue="391.50494063999997"/>
    </cacheField>
    <cacheField name="Total 24/25" numFmtId="0">
      <sharedItems containsSemiMixedTypes="0" containsString="0" containsNumber="1" minValue="0" maxValue="32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6">
  <r>
    <s v="FINAL MULTI YEAR  Template MEMD_ Revised.xlsx"/>
    <x v="0"/>
    <s v="1143 Isimba HPP"/>
    <x v="0"/>
    <x v="0"/>
    <x v="0"/>
    <x v="0"/>
    <d v="2012-07-01T00:00:00"/>
    <d v="2022-06-30T00:00:00"/>
    <s v="Under Defects Liability Period"/>
    <s v="Infrastructure Project"/>
    <n v="306180000000"/>
    <n v="18931000000"/>
    <n v="0"/>
    <n v="18560000000"/>
    <m/>
    <n v="18560000000"/>
    <n v="0"/>
    <n v="0"/>
    <n v="0"/>
    <n v="0"/>
    <m/>
    <n v="343671000000"/>
    <n v="1764000000000"/>
    <s v="Project to Exit in 2022"/>
    <m/>
    <s v="Y"/>
  </r>
  <r>
    <s v="FINAL MULTI YEAR  Template MEMD_ Revised.xlsx"/>
    <x v="0"/>
    <s v="1143 Isimba HPP"/>
    <x v="0"/>
    <x v="0"/>
    <x v="0"/>
    <x v="1"/>
    <d v="2012-07-01T00:00:00"/>
    <d v="2022-06-30T00:00:00"/>
    <s v="Under Defects Liability Period"/>
    <s v="Infrastructure Project"/>
    <n v="1580400000000"/>
    <n v="165040000000"/>
    <m/>
    <n v="0"/>
    <n v="110710000000"/>
    <n v="110710000000"/>
    <n v="0"/>
    <n v="0"/>
    <n v="0"/>
    <n v="0"/>
    <m/>
    <n v="1856150000000"/>
    <m/>
    <s v="Project to Exit in 2022"/>
    <m/>
    <s v="N"/>
  </r>
  <r>
    <s v="FINAL MULTI YEAR  Template MEMD_ Revised.xlsx"/>
    <x v="1"/>
    <s v="1183 Karuma Hydoelectricity Power Project"/>
    <x v="0"/>
    <x v="0"/>
    <x v="0"/>
    <x v="0"/>
    <d v="2011-06-12T00:00:00"/>
    <d v="2022-06-30T00:00:00"/>
    <s v="Under Implementation"/>
    <s v="Infrastructure Project"/>
    <n v="911520000000"/>
    <n v="29000000000"/>
    <n v="0"/>
    <n v="31000000000"/>
    <m/>
    <n v="31000000000"/>
    <m/>
    <m/>
    <m/>
    <m/>
    <m/>
    <n v="971520000000"/>
    <n v="5400000000000"/>
    <s v="Project to Exit in 2022"/>
    <m/>
    <m/>
  </r>
  <r>
    <s v="FINAL MULTI YEAR  Template MEMD_ Revised.xlsx"/>
    <x v="1"/>
    <s v="1183 Karuma Hydoelectricity Power Project"/>
    <x v="0"/>
    <x v="0"/>
    <x v="0"/>
    <x v="1"/>
    <d v="2011-06-12T00:00:00"/>
    <d v="2022-06-30T00:00:00"/>
    <s v="Under Implementation"/>
    <s v="Infrastructure Project"/>
    <n v="4492800000000"/>
    <n v="654690000000"/>
    <n v="0"/>
    <n v="0"/>
    <n v="0"/>
    <n v="0"/>
    <n v="0"/>
    <n v="0"/>
    <n v="0"/>
    <m/>
    <m/>
    <n v="5147490000000"/>
    <m/>
    <s v="Project to Exit in 2022"/>
    <m/>
    <m/>
  </r>
  <r>
    <s v="FINAL MULTI YEAR  Template MEMD_ Revised.xlsx"/>
    <x v="2"/>
    <s v="1350 Muzizi Hydro Power Project"/>
    <x v="0"/>
    <x v="0"/>
    <x v="0"/>
    <x v="0"/>
    <d v="2015-07-01T00:00:00"/>
    <d v="2022-06-30T00:00:00"/>
    <s v="Under Procurement"/>
    <s v="Infrastructure Project"/>
    <n v="13840000000"/>
    <n v="2517000000"/>
    <n v="0"/>
    <n v="2517000000"/>
    <m/>
    <n v="2517000000"/>
    <n v="0"/>
    <n v="0"/>
    <n v="0"/>
    <m/>
    <m/>
    <n v="18874000000"/>
    <n v="319000000000"/>
    <s v="Project to Exit in 2022"/>
    <m/>
    <m/>
  </r>
  <r>
    <s v="FINAL MULTI YEAR  Template MEMD_ Revised.xlsx"/>
    <x v="2"/>
    <s v="1350 Muzizi Hydro Power Project"/>
    <x v="0"/>
    <x v="0"/>
    <x v="0"/>
    <x v="1"/>
    <d v="2015-07-01T00:00:00"/>
    <d v="2022-06-30T00:00:00"/>
    <s v="Under Procurement"/>
    <s v="Infrastructure Project"/>
    <n v="2510000000"/>
    <n v="114990000000"/>
    <m/>
    <m/>
    <n v="15390000000"/>
    <n v="15390000000"/>
    <n v="0"/>
    <n v="0"/>
    <n v="0"/>
    <m/>
    <m/>
    <n v="132890000000"/>
    <m/>
    <s v="Project to Exit in 2022"/>
    <m/>
    <m/>
  </r>
  <r>
    <s v="FINAL MULTI YEAR  Template MEMD_ Revised.xlsx"/>
    <x v="3"/>
    <s v="1351 Nyagak III Hydro Power Project"/>
    <x v="0"/>
    <x v="0"/>
    <x v="0"/>
    <x v="0"/>
    <d v="2015-07-01T00:00:00"/>
    <d v="2022-06-30T00:00:00"/>
    <s v="Under Implementation"/>
    <s v="Infrastructure Project"/>
    <n v="6500000000"/>
    <n v="12293211000"/>
    <n v="0"/>
    <n v="12293211000"/>
    <m/>
    <n v="12293211000"/>
    <n v="0"/>
    <n v="0"/>
    <n v="0"/>
    <m/>
    <m/>
    <n v="31086422000"/>
    <n v="67150000000"/>
    <s v="Project to Exit in 2022"/>
    <m/>
    <m/>
  </r>
  <r>
    <s v="FINAL MULTI YEAR  Template MEMD_ Revised.xlsx"/>
    <x v="4"/>
    <s v="1221 Opuyo Moroto Interconnection Project"/>
    <x v="0"/>
    <x v="0"/>
    <x v="0"/>
    <x v="0"/>
    <d v="2012-05-01T00:00:00"/>
    <d v="2022-06-30T00:00:00"/>
    <s v="Under Defects Liability Period"/>
    <s v="Infrastructure Project"/>
    <n v="14270000000"/>
    <n v="2000000000"/>
    <m/>
    <n v="1500000000"/>
    <m/>
    <n v="1500000000"/>
    <n v="0"/>
    <n v="0"/>
    <n v="0"/>
    <m/>
    <m/>
    <n v="17770000000"/>
    <n v="202000000000"/>
    <s v="Project to Exit in 2022"/>
    <m/>
    <m/>
  </r>
  <r>
    <s v="FINAL MULTI YEAR  Template MEMD_ Revised.xlsx"/>
    <x v="4"/>
    <s v="1221 Opuyo Moroto Interconnection Project"/>
    <x v="0"/>
    <x v="0"/>
    <x v="0"/>
    <x v="1"/>
    <d v="2012-05-01T00:00:00"/>
    <d v="2022-06-30T00:00:00"/>
    <s v="Under Defects Liability Period"/>
    <s v="Infrastructure Project"/>
    <n v="91679539600"/>
    <n v="19190000000"/>
    <m/>
    <m/>
    <n v="0"/>
    <n v="0"/>
    <n v="0"/>
    <n v="0"/>
    <n v="0"/>
    <m/>
    <m/>
    <n v="110869539600"/>
    <m/>
    <s v="Project to Exit in 2022"/>
    <m/>
    <m/>
  </r>
  <r>
    <s v="FINAL MULTI YEAR  Template MEMD_ Revised.xlsx"/>
    <x v="5"/>
    <s v="1259 Kampala-Entebbe Expansion Project"/>
    <x v="0"/>
    <x v="0"/>
    <x v="0"/>
    <x v="0"/>
    <d v="2013-07-01T00:00:00"/>
    <d v="2022-06-30T00:00:00"/>
    <s v="Under Implementation"/>
    <s v="Infrastructure Project"/>
    <n v="85800000000"/>
    <n v="2000000000"/>
    <m/>
    <n v="6600000000"/>
    <m/>
    <n v="6600000000"/>
    <n v="0"/>
    <n v="0"/>
    <n v="0"/>
    <m/>
    <m/>
    <n v="94400000000"/>
    <n v="79680000000"/>
    <s v="Project to Exit in 2022"/>
    <m/>
    <m/>
  </r>
  <r>
    <s v="FINAL MULTI YEAR  Template MEMD_ Revised.xlsx"/>
    <x v="5"/>
    <s v="1259 Kampala-Entebbe Expansion Project"/>
    <x v="0"/>
    <x v="0"/>
    <x v="0"/>
    <x v="1"/>
    <d v="2013-07-01T00:00:00"/>
    <d v="2022-06-30T00:00:00"/>
    <s v="Under Implementation"/>
    <s v="Infrastructure Project"/>
    <n v="61230000000"/>
    <n v="20110000000"/>
    <m/>
    <m/>
    <n v="7690000000"/>
    <n v="7690000000"/>
    <n v="0"/>
    <n v="0"/>
    <n v="0"/>
    <m/>
    <m/>
    <n v="89030000000"/>
    <m/>
    <s v="Project to Exit in 2022"/>
    <m/>
    <m/>
  </r>
  <r>
    <s v="FINAL MULTI YEAR  Template MEMD_ Revised.xlsx"/>
    <x v="6"/>
    <s v="1388 Mbale-Bulambuli (Atari) 132KV transmission line and Associated Substation"/>
    <x v="0"/>
    <x v="0"/>
    <x v="0"/>
    <x v="0"/>
    <d v="2016-07-01T00:00:00"/>
    <d v="2022-06-30T00:00:00"/>
    <s v="Under Procurement"/>
    <s v="Infrastructure Project"/>
    <n v="7630000000"/>
    <n v="1000000000"/>
    <m/>
    <n v="5340000000"/>
    <m/>
    <n v="5340000000"/>
    <n v="0"/>
    <n v="0"/>
    <n v="0"/>
    <m/>
    <m/>
    <n v="13970000000"/>
    <n v="265000000000"/>
    <s v="Project to Exit in 2022"/>
    <m/>
    <m/>
  </r>
  <r>
    <s v="FINAL MULTI YEAR  Template MEMD_ Revised.xlsx"/>
    <x v="6"/>
    <s v="1388 Mbale-Bulambuli (Atari) 132KV transmission line and Associated Substation"/>
    <x v="0"/>
    <x v="0"/>
    <x v="0"/>
    <x v="1"/>
    <d v="2016-07-01T00:00:00"/>
    <d v="2022-06-30T00:00:00"/>
    <s v="Under Procurement"/>
    <s v="Infrastructure Project"/>
    <n v="0"/>
    <n v="1920000000"/>
    <m/>
    <m/>
    <n v="7690000000"/>
    <n v="7690000000"/>
    <n v="0"/>
    <n v="0"/>
    <n v="0"/>
    <m/>
    <m/>
    <n v="9610000000"/>
    <m/>
    <s v="Project to Exit in 2022"/>
    <m/>
    <m/>
  </r>
  <r>
    <s v="FINAL MULTI YEAR  Template MEMD_ Revised.xlsx"/>
    <x v="7"/>
    <s v="1391 Lira-Gulu-Agago 132KV transmission project"/>
    <x v="0"/>
    <x v="0"/>
    <x v="0"/>
    <x v="0"/>
    <d v="2016-07-01T00:00:00"/>
    <d v="2022-06-30T00:00:00"/>
    <s v="Under Procurement"/>
    <s v="Infrastructure Project"/>
    <n v="30760000000"/>
    <n v="2942000000"/>
    <m/>
    <n v="16680000000"/>
    <m/>
    <n v="16680000000"/>
    <n v="0"/>
    <n v="0"/>
    <n v="0"/>
    <m/>
    <m/>
    <n v="50382000000"/>
    <n v="66000000000"/>
    <s v="Project to Exit in 2022"/>
    <m/>
    <m/>
  </r>
  <r>
    <s v="FINAL MULTI YEAR  Template MEMD_ Revised.xlsx"/>
    <x v="7"/>
    <s v="1391 Lira-Gulu-Agago 132KV transmission project"/>
    <x v="0"/>
    <x v="0"/>
    <x v="0"/>
    <x v="1"/>
    <d v="2016-07-01T00:00:00"/>
    <d v="2022-06-30T00:00:00"/>
    <s v="Under Procurement"/>
    <s v="Infrastructure Project"/>
    <n v="0"/>
    <n v="38500000000"/>
    <m/>
    <m/>
    <n v="15390000000"/>
    <n v="15390000000"/>
    <n v="0"/>
    <n v="0"/>
    <n v="0"/>
    <m/>
    <m/>
    <n v="53890000000"/>
    <m/>
    <s v="Project to Exit in 2022"/>
    <m/>
    <m/>
  </r>
  <r>
    <s v="FINAL MULTI YEAR  Template MEMD_ Revised.xlsx"/>
    <x v="8"/>
    <s v="1409 Mirama - Kabale 132kv Transmission Project"/>
    <x v="0"/>
    <x v="0"/>
    <x v="0"/>
    <x v="0"/>
    <d v="2016-07-01T00:00:00"/>
    <d v="2022-06-30T00:00:00"/>
    <s v="Under Procurement"/>
    <s v="Infrastructure Project"/>
    <n v="31180000000"/>
    <n v="15000000000"/>
    <m/>
    <n v="5270000000"/>
    <m/>
    <n v="5270000000"/>
    <n v="0"/>
    <n v="0"/>
    <n v="0"/>
    <m/>
    <m/>
    <n v="51450000000"/>
    <n v="253007000000"/>
    <s v="Project to Exit in 2022"/>
    <m/>
    <m/>
  </r>
  <r>
    <s v="FINAL MULTI YEAR  Template MEMD_ Revised.xlsx"/>
    <x v="8"/>
    <s v="1409 Mirama - Kabale 132kv Transmission Project"/>
    <x v="0"/>
    <x v="0"/>
    <x v="0"/>
    <x v="1"/>
    <d v="2016-07-01T00:00:00"/>
    <d v="2022-06-30T00:00:00"/>
    <s v="Under Implementation"/>
    <s v="Infrastructure Project"/>
    <n v="0"/>
    <n v="0"/>
    <m/>
    <m/>
    <n v="15390000000"/>
    <n v="15390000000"/>
    <m/>
    <m/>
    <m/>
    <m/>
    <m/>
    <n v="15390000000"/>
    <m/>
    <m/>
    <m/>
    <m/>
  </r>
  <r>
    <s v="FINAL MULTI YEAR  Template MEMD_ Revised.xlsx"/>
    <x v="9"/>
    <s v="1426 Grid Expansion and Reinforcement Project -Lira, Gulu, Nebbi to Arua Transmission Line"/>
    <x v="0"/>
    <x v="0"/>
    <x v="0"/>
    <x v="0"/>
    <d v="2016-07-01T00:00:00"/>
    <d v="2022-06-30T00:00:00"/>
    <s v="Under Implementation"/>
    <s v="Infrastructure Project"/>
    <n v="25850000000"/>
    <n v="7224960000"/>
    <m/>
    <n v="2500000000"/>
    <m/>
    <n v="2500000000"/>
    <m/>
    <m/>
    <m/>
    <m/>
    <m/>
    <n v="35574960000"/>
    <n v="382000000000"/>
    <s v="Project to Exit in 2022"/>
    <m/>
    <m/>
  </r>
  <r>
    <s v="FINAL MULTI YEAR  Template MEMD_ Revised.xlsx"/>
    <x v="9"/>
    <s v="1426 Grid Expansion and Reinforcement Project -Lira, Gulu, Nebbi to Arua Transmission Line"/>
    <x v="0"/>
    <x v="0"/>
    <x v="0"/>
    <x v="1"/>
    <d v="2016-07-01T00:00:00"/>
    <d v="2022-06-30T00:00:00"/>
    <s v="Under Implementation"/>
    <s v="Infrastructure Project"/>
    <n v="15770000000"/>
    <n v="57558220000"/>
    <m/>
    <m/>
    <n v="15390000000"/>
    <n v="15390000000"/>
    <n v="0"/>
    <n v="0"/>
    <n v="0"/>
    <m/>
    <m/>
    <n v="88718220000"/>
    <m/>
    <s v="Project to Exit in 2022"/>
    <m/>
    <m/>
  </r>
  <r>
    <s v="FINAL MULTI YEAR  Template MEMD_ Revised.xlsx"/>
    <x v="10"/>
    <s v="1428 Energy for Rural Transformation (ERT) Phase III"/>
    <x v="0"/>
    <x v="0"/>
    <x v="0"/>
    <x v="0"/>
    <d v="2017-07-01T00:00:00"/>
    <d v="2022-06-30T00:00:00"/>
    <s v="Under Implementation"/>
    <s v="Infrastructure Project"/>
    <n v="44720000000"/>
    <n v="7667000000"/>
    <m/>
    <n v="13070000000"/>
    <m/>
    <n v="13070000000"/>
    <n v="0"/>
    <n v="0"/>
    <n v="0"/>
    <n v="0"/>
    <m/>
    <n v="65457000000"/>
    <n v="249000000000"/>
    <s v="Project to Exit in 2022"/>
    <m/>
    <m/>
  </r>
  <r>
    <s v="FINAL MULTI YEAR  Template MEMD_ Revised.xlsx"/>
    <x v="10"/>
    <s v="1428 Energy for Rural Transformation (ERT) Phase III"/>
    <x v="0"/>
    <x v="0"/>
    <x v="0"/>
    <x v="1"/>
    <d v="2017-07-01T00:00:00"/>
    <d v="2022-06-30T00:00:00"/>
    <s v="Under Implementation"/>
    <s v="Infrastructure Project"/>
    <n v="23210000000"/>
    <n v="28400000000"/>
    <m/>
    <m/>
    <n v="55490000000"/>
    <n v="55490000000"/>
    <n v="0"/>
    <n v="0"/>
    <n v="0"/>
    <n v="0"/>
    <m/>
    <n v="107100000000"/>
    <m/>
    <s v="Project to Exit in 2022"/>
    <m/>
    <m/>
  </r>
  <r>
    <s v="FINAL MULTI YEAR  Template MEMD_ Revised.xlsx"/>
    <x v="11"/>
    <s v="1429 ORIO Mini Hydro Power and Rural Electrification Project "/>
    <x v="0"/>
    <x v="0"/>
    <x v="0"/>
    <x v="0"/>
    <d v="2017-07-01T00:00:00"/>
    <d v="2022-06-30T00:00:00"/>
    <s v="Under Implementation"/>
    <s v="Infrastructure Project"/>
    <n v="17000000000"/>
    <n v="10000000000"/>
    <m/>
    <n v="8000000000"/>
    <m/>
    <n v="8000000000"/>
    <n v="0"/>
    <n v="0"/>
    <n v="0"/>
    <n v="0"/>
    <m/>
    <n v="35000000000"/>
    <n v="145000000000"/>
    <s v="Project to Exit in 2022"/>
    <m/>
    <m/>
  </r>
  <r>
    <s v="FINAL MULTI YEAR  Template MEMD_ Revised.xlsx"/>
    <x v="12"/>
    <s v="1492 Kampala Metropolitan Transmission System Improvement Project"/>
    <x v="0"/>
    <x v="0"/>
    <x v="0"/>
    <x v="0"/>
    <d v="2017-07-01T00:00:00"/>
    <d v="2022-06-30T00:00:00"/>
    <s v="Under Procurement"/>
    <s v="Infrastructure Project"/>
    <n v="13170000000"/>
    <n v="30306934000"/>
    <m/>
    <n v="1960000000"/>
    <m/>
    <n v="1960000000"/>
    <n v="0"/>
    <n v="0"/>
    <n v="0"/>
    <n v="0"/>
    <m/>
    <n v="45436934000"/>
    <n v="485500000000"/>
    <s v="Project to Exit in 2022"/>
    <m/>
    <m/>
  </r>
  <r>
    <s v="FINAL MULTI YEAR  Template MEMD_ Revised.xlsx"/>
    <x v="12"/>
    <s v="1492 Kampala Metropolitan Transmission System Improvement Project"/>
    <x v="0"/>
    <x v="0"/>
    <x v="0"/>
    <x v="1"/>
    <d v="2017-07-01T00:00:00"/>
    <d v="2022-06-30T00:00:00"/>
    <s v="Under Procurement"/>
    <s v="Infrastructure Project"/>
    <n v="7320000000"/>
    <n v="0"/>
    <m/>
    <n v="0"/>
    <n v="84710000000"/>
    <n v="84710000000"/>
    <n v="0"/>
    <n v="0"/>
    <n v="0"/>
    <n v="0"/>
    <m/>
    <n v="92030000000"/>
    <m/>
    <s v="Project to Exit in 2022"/>
    <m/>
    <m/>
  </r>
  <r>
    <s v="FINAL MULTI YEAR  Template MEMD_ Revised.xlsx"/>
    <x v="13"/>
    <s v="1497 Masaka-Mbarara Grid Expansion Line"/>
    <x v="0"/>
    <x v="0"/>
    <x v="0"/>
    <x v="0"/>
    <d v="2017-07-01T00:00:00"/>
    <d v="2022-06-30T00:00:00"/>
    <s v="Under Implementation"/>
    <s v="Infrastructure Project"/>
    <n v="30600000000"/>
    <n v="30000000000"/>
    <m/>
    <n v="13330000000"/>
    <m/>
    <n v="13330000000"/>
    <n v="0"/>
    <n v="0"/>
    <n v="0"/>
    <n v="0"/>
    <m/>
    <n v="73930000000"/>
    <n v="475000000000"/>
    <s v="Project to Exit in 2022"/>
    <m/>
    <m/>
  </r>
  <r>
    <s v="FINAL MULTI YEAR  Template MEMD_ Revised.xlsx"/>
    <x v="13"/>
    <s v="1497 Masaka-Mbarara Grid Expansion Line"/>
    <x v="0"/>
    <x v="0"/>
    <x v="0"/>
    <x v="1"/>
    <d v="2017-07-01T00:00:00"/>
    <d v="2022-06-30T00:00:00"/>
    <s v="Under Implementation"/>
    <s v="Infrastructure Project"/>
    <n v="0"/>
    <n v="142780000000"/>
    <m/>
    <m/>
    <n v="15390000000"/>
    <n v="15390000000"/>
    <n v="0"/>
    <n v="0"/>
    <n v="0"/>
    <n v="0"/>
    <m/>
    <n v="158170000000"/>
    <m/>
    <s v="Project to Exit in 2022"/>
    <m/>
    <m/>
  </r>
  <r>
    <s v="FINAL MULTI YEAR  Template MEMD_ Revised.xlsx"/>
    <x v="14"/>
    <s v="1654 Power Supply to industrial parks and Power  Transmission Line Extension"/>
    <x v="0"/>
    <x v="0"/>
    <x v="0"/>
    <x v="0"/>
    <d v="2020-07-01T00:00:00"/>
    <d v="2025-06-30T00:00:00"/>
    <s v="Under Implementation"/>
    <s v="Infrastructure Project"/>
    <n v="0"/>
    <n v="20000000000"/>
    <m/>
    <n v="37510000000"/>
    <m/>
    <n v="37510000000"/>
    <n v="5000000000"/>
    <n v="5000000000"/>
    <n v="5000000000"/>
    <m/>
    <n v="0"/>
    <n v="72510000000"/>
    <n v="238800000000"/>
    <m/>
    <m/>
    <m/>
  </r>
  <r>
    <s v="FINAL MULTI YEAR  Template MEMD_ Revised.xlsx"/>
    <x v="14"/>
    <s v="1654 Power Supply to industrial parks and Power  Transmission Line Extension"/>
    <x v="0"/>
    <x v="0"/>
    <x v="0"/>
    <x v="1"/>
    <d v="2020-07-01T00:00:00"/>
    <d v="2025-06-30T00:00:00"/>
    <s v="Under Implementation"/>
    <s v="Infrastructure Project"/>
    <n v="0"/>
    <n v="136850000000"/>
    <m/>
    <m/>
    <n v="32290000000"/>
    <n v="32290000000"/>
    <n v="20000000000"/>
    <n v="16850000000"/>
    <n v="6850000000"/>
    <m/>
    <n v="0"/>
    <n v="212840000000"/>
    <m/>
    <m/>
    <m/>
    <m/>
  </r>
  <r>
    <s v="FINAL MULTI YEAR  Template MEMD_ Revised.xlsx"/>
    <x v="15"/>
    <s v="1655 Kikagati Nsongezi Transmission Line"/>
    <x v="0"/>
    <x v="0"/>
    <x v="0"/>
    <x v="0"/>
    <d v="2020-07-01T00:00:00"/>
    <d v="2025-06-30T00:00:00"/>
    <s v="Under Implementation"/>
    <s v="Infrastructure Project"/>
    <n v="0"/>
    <n v="1000000000"/>
    <m/>
    <n v="4650000000"/>
    <m/>
    <n v="4650000000"/>
    <n v="1000000000"/>
    <n v="1000000000"/>
    <n v="1000000000"/>
    <m/>
    <n v="0"/>
    <n v="8650000000"/>
    <n v="24500000000"/>
    <m/>
    <m/>
    <m/>
  </r>
  <r>
    <s v="FINAL MULTI YEAR  Template MEMD_ Revised.xlsx"/>
    <x v="15"/>
    <s v="1655 Kikagati Nsongezi Transmission Line"/>
    <x v="0"/>
    <x v="0"/>
    <x v="0"/>
    <x v="1"/>
    <d v="2020-07-01T00:00:00"/>
    <d v="2025-06-30T00:00:00"/>
    <s v="Under Implementation"/>
    <s v="Infrastructure Project"/>
    <n v="0"/>
    <n v="34540000000"/>
    <m/>
    <m/>
    <n v="7690000000"/>
    <n v="7690000000"/>
    <m/>
    <m/>
    <m/>
    <m/>
    <n v="0"/>
    <n v="42230000000"/>
    <m/>
    <m/>
    <m/>
    <m/>
  </r>
  <r>
    <s v="FINAL MULTI YEAR  Template MEMD_ Revised.xlsx"/>
    <x v="16"/>
    <s v="1184 Construction of Oil Refinery"/>
    <x v="0"/>
    <x v="0"/>
    <x v="0"/>
    <x v="0"/>
    <d v="2013-07-01T00:00:00"/>
    <d v="2022-06-30T00:00:00"/>
    <s v="Under Implementation"/>
    <s v="Infrastructure Project"/>
    <n v="127140000000"/>
    <n v="12405000000"/>
    <m/>
    <n v="6410000000"/>
    <m/>
    <n v="6410000000"/>
    <n v="0"/>
    <n v="0"/>
    <n v="0"/>
    <m/>
    <m/>
    <n v="145955000000"/>
    <n v="67000000000"/>
    <s v="Project to Exit in 2022"/>
    <m/>
    <m/>
  </r>
  <r>
    <s v="FINAL MULTI YEAR  Template MEMD_ Revised.xlsx"/>
    <x v="17"/>
    <s v="1352 Midstream Petroleum Infrastructure Development Project"/>
    <x v="0"/>
    <x v="0"/>
    <x v="0"/>
    <x v="0"/>
    <d v="2015-07-01T00:00:00"/>
    <d v="2022-06-30T00:00:00"/>
    <s v="Under Implementation"/>
    <s v="Infrastructure Project"/>
    <n v="30230000000"/>
    <n v="14508211000"/>
    <m/>
    <n v="5510000000"/>
    <m/>
    <n v="5510000000"/>
    <n v="0"/>
    <n v="0"/>
    <n v="0"/>
    <m/>
    <m/>
    <n v="50248211000"/>
    <n v="570960000000"/>
    <s v="Project to Exit in 2022"/>
    <m/>
    <m/>
  </r>
  <r>
    <s v="FINAL MULTI YEAR  Template MEMD_ Revised.xlsx"/>
    <x v="18"/>
    <s v="1355 Strengthening the Development and Production Phases of Oil and Gas Sector"/>
    <x v="0"/>
    <x v="0"/>
    <x v="0"/>
    <x v="0"/>
    <d v="2015-07-01T00:00:00"/>
    <d v="2022-06-30T00:00:00"/>
    <s v="Under Implementation"/>
    <s v="Infrastructure Project"/>
    <n v="136410000000"/>
    <n v="10529540000"/>
    <m/>
    <n v="8530000000"/>
    <m/>
    <n v="8530000000"/>
    <n v="0"/>
    <n v="0"/>
    <n v="0"/>
    <m/>
    <m/>
    <n v="155469540000"/>
    <n v="25000000000"/>
    <s v="Project to Exit in 2022"/>
    <m/>
    <m/>
  </r>
  <r>
    <s v="FINAL MULTI YEAR  Template MEMD_ Revised.xlsx"/>
    <x v="19"/>
    <s v="1410 Skills for Oil and Gas Africa (SOGA)"/>
    <x v="0"/>
    <x v="0"/>
    <x v="0"/>
    <x v="0"/>
    <d v="2016-07-01T00:00:00"/>
    <d v="2022-06-30T00:00:00"/>
    <s v="Under Implementation"/>
    <s v="Social Project"/>
    <n v="3990000000"/>
    <n v="3580000000"/>
    <m/>
    <n v="3070000000"/>
    <m/>
    <n v="3070000000"/>
    <n v="0"/>
    <n v="0"/>
    <n v="0"/>
    <m/>
    <m/>
    <n v="10640000000"/>
    <n v="50000000000"/>
    <s v="Project to Exit in 2022"/>
    <m/>
    <m/>
  </r>
  <r>
    <s v="FINAL MULTI YEAR  Template MEMD_ Revised.xlsx"/>
    <x v="19"/>
    <s v="1410 Skills for Oil and Gas Africa (SOGA)"/>
    <x v="0"/>
    <x v="0"/>
    <x v="0"/>
    <x v="1"/>
    <d v="2016-07-01T00:00:00"/>
    <d v="2022-06-30T00:00:00"/>
    <s v="Under Implementation"/>
    <s v="Social Project"/>
    <n v="5730000000"/>
    <n v="4500000000"/>
    <m/>
    <m/>
    <n v="0"/>
    <n v="0"/>
    <n v="0"/>
    <n v="0"/>
    <n v="0"/>
    <m/>
    <m/>
    <n v="10230000000"/>
    <m/>
    <s v="Project to Exit in 2022"/>
    <m/>
    <m/>
  </r>
  <r>
    <s v="FINAL MULTI YEAR  Template MEMD_ Revised.xlsx"/>
    <x v="20"/>
    <s v="1610 Liquefied Petroleum Gas (LPG) Supply and Infrastructure Intervention"/>
    <x v="0"/>
    <x v="0"/>
    <x v="0"/>
    <x v="0"/>
    <d v="2020-07-01T00:00:00"/>
    <d v="2025-06-30T00:00:00"/>
    <s v="Under Implementation"/>
    <s v="Infrastructure Project"/>
    <n v="0"/>
    <n v="3000000000"/>
    <m/>
    <n v="20510000000"/>
    <m/>
    <n v="20510000000"/>
    <n v="180000000000"/>
    <n v="180000000000"/>
    <n v="200000000000"/>
    <m/>
    <n v="0"/>
    <n v="583510000000"/>
    <n v="970000000000"/>
    <s v="Only Gou FUNDED "/>
    <m/>
    <m/>
  </r>
  <r>
    <s v="FINAL MULTI YEAR  Template MEMD_ Revised.xlsx"/>
    <x v="21"/>
    <s v="1611 Petroleum Exploration and Promotion Frontier Basins"/>
    <x v="0"/>
    <x v="0"/>
    <x v="0"/>
    <x v="0"/>
    <d v="2020-07-01T00:00:00"/>
    <d v="2025-06-30T00:00:00"/>
    <s v="Under Implementation"/>
    <s v="Infrastructure Project"/>
    <n v="0"/>
    <n v="5000000000"/>
    <m/>
    <n v="5000000000"/>
    <m/>
    <n v="5000000000"/>
    <n v="35000000000"/>
    <n v="35000000000"/>
    <n v="21000000000"/>
    <m/>
    <n v="0"/>
    <n v="101000000000"/>
    <n v="101200000000"/>
    <s v="Only Gou FUNDED "/>
    <m/>
    <m/>
  </r>
  <r>
    <s v="FINAL MULTI YEAR  Template MEMD_ Revised.xlsx"/>
    <x v="22"/>
    <s v="1353 Mineral Wealth and Mining Infrastructure Development"/>
    <x v="0"/>
    <x v="0"/>
    <x v="0"/>
    <x v="0"/>
    <d v="2015-07-01T00:00:00"/>
    <d v="2022-06-30T00:00:00"/>
    <s v="Under Implementation"/>
    <s v="Infrastructure Project"/>
    <n v="37540000000"/>
    <n v="13354378000"/>
    <m/>
    <n v="13354378000"/>
    <m/>
    <n v="13354378000"/>
    <n v="0"/>
    <n v="0"/>
    <n v="0"/>
    <m/>
    <m/>
    <n v="64248756000"/>
    <n v="156600000000"/>
    <s v="Project to Exit in 2022"/>
    <m/>
    <m/>
  </r>
  <r>
    <s v="FINAL MULTI YEAR  Template MEMD_ Revised.xlsx"/>
    <x v="23"/>
    <s v="1542 Airborne Geophysical Survey and Geological Mapping of Karamoja"/>
    <x v="0"/>
    <x v="0"/>
    <x v="0"/>
    <x v="0"/>
    <d v="2019-07-01T00:00:00"/>
    <d v="2025-06-30T00:00:00"/>
    <s v="Under Implementation"/>
    <s v="Infrastructure Project"/>
    <n v="2420000000"/>
    <n v="9100000000"/>
    <n v="0"/>
    <n v="9100000000"/>
    <m/>
    <n v="9100000000"/>
    <n v="2000000000"/>
    <n v="1689000000"/>
    <n v="1200000000"/>
    <m/>
    <n v="0"/>
    <n v="25509000000"/>
    <n v="97341000000"/>
    <s v="project to Exit in 2025"/>
    <m/>
    <m/>
  </r>
  <r>
    <s v="FINAL MULTI YEAR  Template MEMD_ Revised.xlsx"/>
    <x v="23"/>
    <s v="1542 Airborne Geophysical Survey and Geological Mapping of Karamoja"/>
    <x v="0"/>
    <x v="0"/>
    <x v="0"/>
    <x v="1"/>
    <d v="2019-07-01T00:00:00"/>
    <d v="2025-06-30T00:00:00"/>
    <s v="Under Implementation"/>
    <s v="Infrastructure Project"/>
    <n v="0"/>
    <n v="38380000000"/>
    <m/>
    <m/>
    <n v="20310000000"/>
    <n v="20310000000"/>
    <n v="17000000000"/>
    <n v="8780000000"/>
    <n v="7700000000"/>
    <m/>
    <m/>
    <n v="92170000000"/>
    <m/>
    <m/>
    <m/>
    <m/>
  </r>
  <r>
    <s v="FINAL MULTI YEAR  Template MEMD_ Revised.xlsx"/>
    <x v="24"/>
    <s v="1594 Retooling of Ministry of Energy and Mineral Development (PhaseII)"/>
    <x v="0"/>
    <x v="0"/>
    <x v="0"/>
    <x v="0"/>
    <d v="2020-07-01T00:00:00"/>
    <d v="2025-06-30T00:00:00"/>
    <s v="Under Implementation"/>
    <s v="Retooling Project"/>
    <n v="0"/>
    <n v="20002028000"/>
    <m/>
    <n v="29900000000"/>
    <m/>
    <n v="29900000000"/>
    <n v="43002028000"/>
    <n v="47002028000"/>
    <n v="44002028000"/>
    <m/>
    <n v="0"/>
    <n v="183908112000"/>
    <n v="174000000000"/>
    <s v="Only Gou FUNDED "/>
    <m/>
    <m/>
  </r>
  <r>
    <s v="MoH MYC Template Uganda Workshop v25.1.21.xlsx"/>
    <x v="25"/>
    <s v="1344 Renovation and Equipping of Kayunga and Yumbe General Hospitals"/>
    <x v="1"/>
    <x v="1"/>
    <x v="1"/>
    <x v="0"/>
    <d v="2015-04-15T00:00:00"/>
    <d v="2022-06-30T00:00:00"/>
    <s v="Under Implementation"/>
    <s v="Infrastructure Project"/>
    <n v="16505000000"/>
    <n v="2880000000"/>
    <m/>
    <n v="1579000000"/>
    <m/>
    <n v="1579000000"/>
    <n v="0"/>
    <n v="0"/>
    <n v="0"/>
    <n v="0"/>
    <n v="0"/>
    <n v="20964000000"/>
    <n v="140000000000"/>
    <s v="Closing date revised to 30th June 2022 as indicated in PS/STs letter of 17th October ,2020 on appeals against exit from the PIP at the end of FY 2020/21. Multiyear figures don’t appear because the project will be closing after next FY."/>
    <m/>
    <s v="Y"/>
  </r>
  <r>
    <s v="MoH MYC Template Uganda Workshop v25.1.21.xlsx"/>
    <x v="25"/>
    <s v="1344 Renovation and Equipping of Kayunga and Yumbe General Hospitals"/>
    <x v="1"/>
    <x v="1"/>
    <x v="1"/>
    <x v="1"/>
    <d v="2015-04-15T00:00:00"/>
    <d v="2022-06-30T00:00:00"/>
    <s v="Under Implementation"/>
    <s v="Infrastructure Project"/>
    <n v="99855000000"/>
    <n v="30830000000"/>
    <m/>
    <n v="0"/>
    <n v="3395400000"/>
    <n v="3395400000"/>
    <n v="0"/>
    <n v="0"/>
    <n v="0"/>
    <n v="0"/>
    <n v="0"/>
    <n v="134080400000"/>
    <m/>
    <s v="Project closing with one year extension under GOU funding"/>
    <m/>
    <s v="N"/>
  </r>
  <r>
    <s v="MoH MYC Template Uganda Workshop v25.1.21.xlsx"/>
    <x v="26"/>
    <s v="0220 Global Fund for AIDS, TB and Malaria"/>
    <x v="1"/>
    <x v="1"/>
    <x v="1"/>
    <x v="0"/>
    <d v="2018-01-01T00:00:00"/>
    <d v="2022-12-31T00:00:00"/>
    <s v="Under Defects Liability Period"/>
    <s v="Social Project"/>
    <n v="10725805731"/>
    <n v="5575268577"/>
    <n v="154498413"/>
    <n v="5575268577"/>
    <n v="5575268577"/>
    <n v="11305035567"/>
    <m/>
    <m/>
    <m/>
    <n v="0"/>
    <n v="0"/>
    <n v="27606109875"/>
    <n v="1125461552000"/>
    <s v="Arrears are arising from the GOU not fulfilling the funding due to the covid pandemic reallocations. GOU projections given here are estimates based on previous GOU commitments. Grant closure process on going"/>
    <m/>
    <m/>
  </r>
  <r>
    <s v="MoH MYC Template Uganda Workshop v25.1.21.xlsx"/>
    <x v="26"/>
    <s v="0220 Global Fund for AIDS, TB and Malaria"/>
    <x v="1"/>
    <x v="1"/>
    <x v="1"/>
    <x v="1"/>
    <d v="2018-01-01T00:00:00"/>
    <d v="2022-12-31T00:00:00"/>
    <s v="Under Defects Liability Period"/>
    <s v="Social Project"/>
    <n v="1422631307300"/>
    <n v="703030000000"/>
    <n v="0"/>
    <n v="0"/>
    <n v="703030000000"/>
    <n v="703030000000"/>
    <n v="0"/>
    <n v="0"/>
    <n v="0"/>
    <n v="0"/>
    <n v="0"/>
    <n v="2828691307300"/>
    <m/>
    <s v="Global Fund operate in calendar years, the grants come in every 3 years, the current grant ends this FY 20/21, A new grant with new terms and agreements will commence next FY 21/22 up to FY24/25 and the commitments havent been confirmed. Spent figures are estimates up to the end of 2020.Figures are in USD and estimated fx rate is @3700"/>
    <m/>
    <m/>
  </r>
  <r>
    <s v="MoH MYC Template Uganda Workshop v25.1.21.xlsx"/>
    <x v="27"/>
    <s v="1436 GAVI Vaccines and Health Sector Development Plan Support"/>
    <x v="1"/>
    <x v="1"/>
    <x v="1"/>
    <x v="0"/>
    <d v="2017-07-01T00:00:00"/>
    <d v="2022-06-30T00:00:00"/>
    <s v="Under Implementation"/>
    <s v="Social Project"/>
    <n v="34000000000"/>
    <n v="11093484000"/>
    <n v="0"/>
    <n v="16000000000"/>
    <m/>
    <n v="16000000000"/>
    <m/>
    <m/>
    <m/>
    <n v="0"/>
    <n v="0"/>
    <n v="61093484000"/>
    <n v="526000000000"/>
    <s v="Assumed that GoU - will fund costs of Covid-19 vaccine and deployment in FY 2021/22, FY22/23, FY23/24 and FY 24/25, Assumed that GoU will not have any arrears and cash commitments by end of Current FY. Current grant ends next FY and grants follow calendar years. "/>
    <m/>
    <m/>
  </r>
  <r>
    <s v="MoH MYC Template Uganda Workshop v25.1.21.xlsx"/>
    <x v="27"/>
    <s v="1436 GAVI Vaccines and Health Sector Development Plan Support"/>
    <x v="1"/>
    <x v="1"/>
    <x v="1"/>
    <x v="1"/>
    <d v="2017-07-02T00:00:00"/>
    <d v="2022-07-01T00:00:00"/>
    <s v="Under Implementation"/>
    <s v="Social Project"/>
    <n v="385000000000"/>
    <n v="36735129920"/>
    <n v="0"/>
    <m/>
    <n v="36730000000"/>
    <n v="36730000000"/>
    <m/>
    <m/>
    <m/>
    <n v="0"/>
    <n v="0"/>
    <n v="458465129920"/>
    <m/>
    <s v="Assumed an annual increment of budget by 5%, Assummed that Uganda will have received HSS3 Grant in 2023. Projections are made basing on approved proposed funding commitment figures but not yet signed, slight variations are expected but within estimated ranges since information about new grant commitments hasnt comein yet.Figures are in USD and estimated fx rate is @3700"/>
    <m/>
    <m/>
  </r>
  <r>
    <s v="MoH MYC Template Uganda Workshop v25.1.21.xlsx"/>
    <x v="28"/>
    <s v="1440 Uganda Reproductive Maternal and Child Health Services Improvement Project"/>
    <x v="1"/>
    <x v="1"/>
    <x v="1"/>
    <x v="0"/>
    <d v="2017-05-26T00:00:00"/>
    <d v="2022-12-31T00:00:00"/>
    <s v="Under Implementation"/>
    <s v="Infrastructure Project"/>
    <n v="800000000"/>
    <n v="200000000"/>
    <m/>
    <n v="200000000"/>
    <m/>
    <n v="200000000"/>
    <m/>
    <n v="0"/>
    <n v="0"/>
    <m/>
    <m/>
    <n v="1200000000"/>
    <n v="532000000000"/>
    <s v="The project is expected to end next FY  and GOU commitment figure isnt expected to change"/>
    <m/>
    <m/>
  </r>
  <r>
    <s v="MoH MYC Template Uganda Workshop v25.1.21.xlsx"/>
    <x v="28"/>
    <s v="1440 Uganda Reproductive Maternal and Child Health Services Improvement Project"/>
    <x v="1"/>
    <x v="1"/>
    <x v="1"/>
    <x v="1"/>
    <d v="2017-05-26T00:00:00"/>
    <d v="2022-12-31T00:00:00"/>
    <s v="Under Implementation"/>
    <s v="Infrastructure Project"/>
    <n v="138544180100"/>
    <n v="332420000000"/>
    <n v="0"/>
    <m/>
    <n v="242970667600"/>
    <n v="242970667600"/>
    <m/>
    <m/>
    <n v="0"/>
    <m/>
    <m/>
    <n v="713934847700"/>
    <m/>
    <s v="Figures are denoted in usd and a rate of @3700 is used. A projection is made beyond the project period by one year to cater for unfinished work and transitioning."/>
    <m/>
    <m/>
  </r>
  <r>
    <s v="MoH MYC Template Uganda Workshop v25.1.21.xlsx"/>
    <x v="29"/>
    <s v="1539 Italian Support to Health Sector Development Plan- Karamoja Infrastructure Development Project Phase II"/>
    <x v="1"/>
    <x v="1"/>
    <x v="1"/>
    <x v="0"/>
    <d v="2020-07-01T00:00:00"/>
    <d v="2025-06-30T00:00:00"/>
    <s v="Under Implementation"/>
    <s v="Infrastructure Project"/>
    <n v="209380000"/>
    <n v="361000000"/>
    <n v="0"/>
    <n v="361000000"/>
    <m/>
    <n v="361000000"/>
    <n v="4820000000"/>
    <n v="7640000000"/>
    <n v="361000000"/>
    <n v="0"/>
    <n v="0"/>
    <n v="13752380000"/>
    <n v="20000000000"/>
    <s v="The figures are based on commitments by GOU to the project awaiting signatures but agreements were already approved"/>
    <m/>
    <m/>
  </r>
  <r>
    <s v="MoH MYC Template Uganda Workshop v25.1.21.xlsx"/>
    <x v="29"/>
    <s v="1539 Italian Support to Health Sector Development Plan- Karamoja Infrastructure Development Project Phase II"/>
    <x v="1"/>
    <x v="1"/>
    <x v="1"/>
    <x v="1"/>
    <d v="2020-07-01T00:00:00"/>
    <d v="2025-07-01T00:00:00"/>
    <s v="Under Implementation"/>
    <s v="Infrastructure Project"/>
    <n v="0"/>
    <n v="12937486862"/>
    <n v="0"/>
    <n v="0"/>
    <n v="13298490161"/>
    <n v="13298490161"/>
    <n v="13298490161"/>
    <n v="43212574213"/>
    <n v="0"/>
    <m/>
    <m/>
    <n v="82747041397"/>
    <m/>
    <s v="The figures are denoted in euro @4500 rate. The agreements were agreed upon but not signed due to the challenges that came with covid 19, the period is extended to 2024 on the signing of agreements and donor commitment."/>
    <m/>
    <m/>
  </r>
  <r>
    <s v="MoH MYC Template Uganda Workshop v25.1.21.xlsx"/>
    <x v="30"/>
    <s v="1243 Rehabilitation and Construction of General Hospitals"/>
    <x v="1"/>
    <x v="1"/>
    <x v="1"/>
    <x v="0"/>
    <d v="2012-07-01T00:00:00"/>
    <d v="2022-06-30T00:00:00"/>
    <s v="Under Implementation"/>
    <s v="Infrastructure Project"/>
    <n v="7680000000"/>
    <n v="9290000000"/>
    <n v="0"/>
    <n v="3840000000"/>
    <m/>
    <n v="3840000000"/>
    <m/>
    <m/>
    <n v="0"/>
    <n v="0"/>
    <n v="0"/>
    <n v="20810000000"/>
    <n v="62000000000"/>
    <s v="Muliyear estimates are because there is extension of implementation period by 2years to 2023"/>
    <m/>
    <m/>
  </r>
  <r>
    <s v="MoH MYC Template Uganda Workshop v25.1.21.xlsx"/>
    <x v="30"/>
    <s v="1243 Rehabilitation and Construction of General Hospitals"/>
    <x v="1"/>
    <x v="1"/>
    <x v="1"/>
    <x v="1"/>
    <d v="2012-07-01T00:00:00"/>
    <d v="2022-06-30T00:00:00"/>
    <s v="Under Implementation"/>
    <s v="Infrastructure Project"/>
    <n v="18580000000"/>
    <n v="3840000000"/>
    <n v="0"/>
    <m/>
    <n v="9290000000"/>
    <n v="9290000000"/>
    <m/>
    <m/>
    <n v="0"/>
    <n v="0"/>
    <n v="0"/>
    <n v="31710000000"/>
    <m/>
    <s v="classification of implemetation period has changed due to 2yr extension period"/>
    <m/>
    <m/>
  </r>
  <r>
    <s v="MoH MYC Template Uganda Workshop v25.1.21.xlsx"/>
    <x v="31"/>
    <s v="1566 Retooling of Ministry of Health"/>
    <x v="1"/>
    <x v="1"/>
    <x v="1"/>
    <x v="0"/>
    <d v="2010-07-01T00:00:00"/>
    <d v="2025-06-30T00:00:00"/>
    <s v="Under Implementation"/>
    <s v="Retooling Project"/>
    <n v="4200000000"/>
    <n v="33819470358"/>
    <m/>
    <n v="1471167287"/>
    <n v="19800000000"/>
    <n v="21271167287"/>
    <n v="1471167287"/>
    <n v="2691167287"/>
    <n v="2855000000"/>
    <n v="0"/>
    <n v="0"/>
    <n v="66307972219"/>
    <n v="21000000000"/>
    <s v="Extension period for the project given up to 2024 due to initial delays for project commencement"/>
    <m/>
    <m/>
  </r>
  <r>
    <s v="MoH MYC Template Uganda Workshop v25.1.21.xlsx"/>
    <x v="32"/>
    <s v="1519 Strengthening Capacity of Regional Referral Hospitals-DRIVE"/>
    <x v="1"/>
    <x v="1"/>
    <x v="1"/>
    <x v="0"/>
    <d v="2018-07-01T00:00:00"/>
    <d v="2025-06-30T00:00:00"/>
    <s v="Under Implementation"/>
    <s v="Infrastructure Project"/>
    <n v="3000000000"/>
    <n v="1000000000"/>
    <n v="0"/>
    <n v="0"/>
    <n v="1000000000"/>
    <n v="1000000000"/>
    <n v="0"/>
    <n v="0"/>
    <n v="0"/>
    <m/>
    <m/>
    <n v="5000000000"/>
    <n v="193500000000"/>
    <s v="Regional referral hospitals to give individual figures for their allocations. The figures used here are only those for MOH. The project is being consolidated to one master project to fit in NDPIII program planning implementation period"/>
    <m/>
    <m/>
  </r>
  <r>
    <s v="MoH MYC Template Uganda Workshop v25.1.21.xlsx"/>
    <x v="32"/>
    <s v="1519 Strengthening Capacity of Regional Referral Hospitals-DRIVE"/>
    <x v="1"/>
    <x v="1"/>
    <x v="1"/>
    <x v="1"/>
    <d v="2018-07-01T00:00:00"/>
    <d v="2025-06-30T00:00:00"/>
    <s v="Under Implementation"/>
    <s v="Infrastructure Project"/>
    <n v="0"/>
    <n v="0"/>
    <n v="0"/>
    <n v="0"/>
    <n v="0"/>
    <n v="0"/>
    <n v="0"/>
    <n v="0"/>
    <n v="0"/>
    <m/>
    <m/>
    <n v="0"/>
    <n v="0"/>
    <s v="Donor funding figures not confirmed for multiyear"/>
    <m/>
    <m/>
  </r>
  <r>
    <s v="MoH MYC Template Uganda Workshop v25.1.21.xlsx"/>
    <x v="26"/>
    <s v="0220 Global Fund for AIDS, TB and Malaria"/>
    <x v="1"/>
    <x v="1"/>
    <x v="1"/>
    <x v="0"/>
    <d v="2010-07-01T00:00:00"/>
    <d v="2022-06-30T00:00:00"/>
    <s v="Under Procurement"/>
    <s v="Social Project"/>
    <n v="0"/>
    <n v="0"/>
    <n v="0"/>
    <n v="5575268577"/>
    <m/>
    <n v="5575268577"/>
    <n v="0"/>
    <n v="0"/>
    <n v="0"/>
    <m/>
    <m/>
    <n v="5575268577"/>
    <m/>
    <s v="New project grant"/>
    <m/>
    <m/>
  </r>
  <r>
    <s v="MoH MYC Template Uganda Workshop v25.1.21.xlsx"/>
    <x v="26"/>
    <s v="0220 Global Fund for AIDS, TB and Malaria"/>
    <x v="1"/>
    <x v="1"/>
    <x v="1"/>
    <x v="1"/>
    <d v="2010-07-01T00:00:00"/>
    <d v="2022-06-30T00:00:00"/>
    <s v="Under Procurement"/>
    <s v="Social Project"/>
    <n v="0"/>
    <n v="0"/>
    <n v="0"/>
    <m/>
    <n v="448407122863"/>
    <n v="448407122863"/>
    <n v="0"/>
    <n v="0"/>
    <n v="0"/>
    <m/>
    <m/>
    <n v="448407122863"/>
    <m/>
    <s v="New project grant"/>
    <m/>
    <m/>
  </r>
  <r>
    <s v="MoICT MYC Template MFPED.xlsx"/>
    <x v="33"/>
    <s v="1600 Retooling of Ministry of ICT &amp; National Guidance"/>
    <x v="2"/>
    <x v="2"/>
    <x v="2"/>
    <x v="0"/>
    <d v="2020-07-01T00:00:00"/>
    <d v="2025-06-30T00:00:00"/>
    <s v="Under Implementation"/>
    <s v="Retooling Project"/>
    <n v="0"/>
    <n v="1600000000"/>
    <n v="0"/>
    <n v="0"/>
    <n v="1600000000"/>
    <n v="1600000000"/>
    <n v="1200000000"/>
    <n v="1600000000"/>
    <n v="1000000000"/>
    <m/>
    <m/>
    <n v="7000000000"/>
    <n v="7000000000"/>
    <m/>
    <m/>
    <s v="Y"/>
  </r>
  <r>
    <s v="MoJCA MYC Template Uganda  Workshop v22.1.21 DC template (2) (1).xlsx"/>
    <x v="34"/>
    <s v="0890 Support to Justice Law and Order Sector"/>
    <x v="3"/>
    <x v="3"/>
    <x v="3"/>
    <x v="0"/>
    <d v="2016-01-07T00:00:00"/>
    <m/>
    <s v="Under Implementation"/>
    <s v="Social Project"/>
    <n v="235000000000"/>
    <n v="74729000000"/>
    <n v="0"/>
    <n v="0"/>
    <n v="127641716167"/>
    <n v="127641716167"/>
    <n v="0"/>
    <n v="0"/>
    <n v="0"/>
    <m/>
    <n v="0"/>
    <n v="437370716167"/>
    <m/>
    <m/>
    <m/>
    <s v="N"/>
  </r>
  <r>
    <s v="MoJCA MYC Template Uganda  Workshop v22.1.21 DC template (2) (1).xlsx"/>
    <x v="34"/>
    <s v="0890 Support to Justice Law and Order Sector"/>
    <x v="3"/>
    <x v="3"/>
    <x v="3"/>
    <x v="1"/>
    <d v="2016-01-07T00:00:00"/>
    <m/>
    <s v="Under Implementation"/>
    <s v="Social Project"/>
    <n v="27950000000"/>
    <n v="27950000000"/>
    <n v="0"/>
    <m/>
    <n v="27950000000"/>
    <n v="27950000000"/>
    <n v="0"/>
    <n v="0"/>
    <n v="0"/>
    <m/>
    <n v="0"/>
    <n v="83850000000"/>
    <m/>
    <m/>
    <m/>
    <m/>
  </r>
  <r>
    <s v="MoJCA MYC Template Uganda  Workshop v22.1.21 DC template (2) (1).xlsx"/>
    <x v="35"/>
    <s v="1242 Construction of the JLOS House"/>
    <x v="3"/>
    <x v="3"/>
    <x v="3"/>
    <x v="0"/>
    <d v="2020-01-07T00:00:00"/>
    <m/>
    <s v="Under Procurement"/>
    <s v="Infrastructure Project"/>
    <n v="4691000000"/>
    <n v="25000000000"/>
    <n v="0"/>
    <n v="0"/>
    <n v="64800000000"/>
    <n v="64800000000"/>
    <n v="0"/>
    <n v="0"/>
    <n v="0"/>
    <m/>
    <n v="0"/>
    <n v="94491000000"/>
    <m/>
    <m/>
    <m/>
    <m/>
  </r>
  <r>
    <s v="MoJCA MYC Template Uganda  Workshop v22.1.21 DC template (2) (1).xlsx"/>
    <x v="36"/>
    <s v="1647 Retooling of Ministry of Justice and Constitutional Affairs"/>
    <x v="3"/>
    <x v="3"/>
    <x v="3"/>
    <x v="0"/>
    <d v="2020-01-07T00:00:00"/>
    <m/>
    <s v="Under Implementation"/>
    <s v="Retooling Project"/>
    <n v="0"/>
    <n v="400000000"/>
    <n v="0"/>
    <n v="0"/>
    <n v="16976000000"/>
    <n v="16976000000"/>
    <n v="9288000000"/>
    <n v="9417000000"/>
    <n v="7055000000"/>
    <m/>
    <m/>
    <n v="43136000000"/>
    <m/>
    <m/>
    <m/>
    <m/>
  </r>
  <r>
    <s v="MoLHUD -012 MYC Template Uganda Workshop v25.1.21 (1).xlsx"/>
    <x v="37"/>
    <s v="1514 Uganda Support to Municipal Infrastructure Development (USMID II)"/>
    <x v="4"/>
    <x v="4"/>
    <x v="4"/>
    <x v="1"/>
    <d v="2019-04-01T00:00:00"/>
    <m/>
    <s v="Under Implementation"/>
    <s v="Infrastructure Project"/>
    <n v="39433507260"/>
    <n v="43521160000"/>
    <m/>
    <m/>
    <n v="61884000000"/>
    <n v="61884000000"/>
    <n v="82010000000"/>
    <n v="0"/>
    <n v="0"/>
    <m/>
    <m/>
    <n v="226848667260"/>
    <n v="1345320000000"/>
    <s v="The total project value includes grants to Municipal Councils and refugee host districts"/>
    <m/>
    <s v="Y"/>
  </r>
  <r>
    <s v="MoLHUD -012 MYC Template Uganda Workshop v25.1.21 (1).xlsx"/>
    <x v="38"/>
    <s v="1528 Hoima Oil Refinery Proximity Development Master Plan"/>
    <x v="4"/>
    <x v="4"/>
    <x v="4"/>
    <x v="0"/>
    <d v="2018-07-01T00:00:00"/>
    <m/>
    <s v="Under Implementation"/>
    <s v="Infrastructure Project"/>
    <n v="50000000"/>
    <n v="50000000"/>
    <m/>
    <m/>
    <n v="2900000000"/>
    <n v="2900000000"/>
    <n v="3480000000"/>
    <n v="0"/>
    <n v="0"/>
    <n v="0"/>
    <m/>
    <n v="6480000000"/>
    <n v="250000000"/>
    <s v="GoU counter financing only "/>
    <m/>
    <s v="N"/>
  </r>
  <r>
    <s v="MoLHUD -012 MYC Template Uganda Workshop v25.1.21 (1).xlsx"/>
    <x v="39"/>
    <s v="1632 Retooling of Ministry of Lands, Housing and Urban Development"/>
    <x v="4"/>
    <x v="4"/>
    <x v="4"/>
    <x v="0"/>
    <d v="2020-07-01T00:00:00"/>
    <m/>
    <s v="Under Implementation"/>
    <s v="Retooling Project"/>
    <n v="0"/>
    <n v="2353200000"/>
    <m/>
    <m/>
    <n v="2350000000"/>
    <n v="2350000000"/>
    <n v="4000000000"/>
    <n v="4000000000"/>
    <n v="4000000000"/>
    <n v="0"/>
    <m/>
    <n v="57871160000"/>
    <n v="20000000000"/>
    <m/>
    <m/>
    <m/>
  </r>
  <r>
    <s v="MoLHUD -012 MYC Template Uganda Workshop v25.1.21 (1).xlsx"/>
    <x v="40"/>
    <s v="1310 Albertine Region Sustainable Development Project -012"/>
    <x v="4"/>
    <x v="4"/>
    <x v="4"/>
    <x v="1"/>
    <d v="2015-01-07T00:00:00"/>
    <m/>
    <s v="Under Implementation"/>
    <s v="Infrastructure Project"/>
    <n v="30550068678"/>
    <n v="24820000000"/>
    <m/>
    <m/>
    <n v="0"/>
    <n v="0"/>
    <n v="0"/>
    <n v="0"/>
    <n v="0"/>
    <m/>
    <m/>
    <n v="55370068678"/>
    <n v="93425000000"/>
    <s v="The total Value includes Land Component only"/>
    <m/>
    <m/>
  </r>
  <r>
    <s v="MoLHUD -012 MYC Template Uganda Workshop v25.1.21 (1).xlsx"/>
    <x v="41"/>
    <s v="1289 Competitiveness and Enterprise Development Project [CEDP] -012"/>
    <x v="4"/>
    <x v="4"/>
    <x v="4"/>
    <x v="1"/>
    <d v="2014-07-01T00:00:00"/>
    <m/>
    <s v="Under Implementation"/>
    <s v="Infrastructure Project"/>
    <n v="173892176479"/>
    <n v="32670000000"/>
    <m/>
    <m/>
    <n v="55040000000"/>
    <n v="55040000000"/>
    <n v="0"/>
    <n v="0"/>
    <n v="0"/>
    <m/>
    <m/>
    <n v="261602176479"/>
    <n v="402474900000"/>
    <s v="The Total project value includes both CEDP I and II"/>
    <m/>
    <m/>
  </r>
  <r>
    <s v="MoLHUD -012 MYC Template Uganda Workshop v25.1.21 (1).xlsx"/>
    <x v="41"/>
    <s v="1289 Competitiveness and Enterprise Development Project [CEDP] -012"/>
    <x v="4"/>
    <x v="4"/>
    <x v="4"/>
    <x v="0"/>
    <d v="2014-07-01T00:00:00"/>
    <d v="2022-05-31T00:00:00"/>
    <s v="Under Implementation"/>
    <s v="Infrastructure Project"/>
    <n v="14370000000"/>
    <n v="3670000000"/>
    <m/>
    <m/>
    <n v="3670000000"/>
    <n v="3670000000"/>
    <n v="0"/>
    <n v="0"/>
    <n v="0"/>
    <m/>
    <m/>
    <n v="21710000000"/>
    <n v="32720000000"/>
    <s v="Govt counter financing "/>
    <m/>
    <m/>
  </r>
  <r>
    <s v="MoLHUD -012 MYC Template Uganda Workshop v25.1.21 (1).xlsx"/>
    <x v="38"/>
    <s v="1528 Hoima Oil Refinery Proximity Development Master Plan"/>
    <x v="4"/>
    <x v="4"/>
    <x v="4"/>
    <x v="1"/>
    <d v="2018-07-01T00:00:00"/>
    <m/>
    <s v="Under Implementation"/>
    <s v="Infrastructure Project"/>
    <m/>
    <m/>
    <m/>
    <m/>
    <m/>
    <n v="0"/>
    <n v="0"/>
    <n v="0"/>
    <n v="0"/>
    <m/>
    <m/>
    <n v="0"/>
    <m/>
    <s v="Project was approved,awaiting for external financing"/>
    <m/>
    <m/>
  </r>
  <r>
    <s v="MoSTI MULTI YEAR COMMITMENTS.xlsx"/>
    <x v="42"/>
    <s v="1511 Kiira Motors Corporation"/>
    <x v="5"/>
    <x v="5"/>
    <x v="5"/>
    <x v="0"/>
    <d v="2018-07-01T00:00:00"/>
    <d v="2022-06-30T00:00:00"/>
    <s v="Under Implementation"/>
    <s v="Infrastructure Project"/>
    <n v="41586431087"/>
    <n v="42125000000"/>
    <n v="44500000000"/>
    <n v="0"/>
    <n v="218200000000"/>
    <n v="262700000000"/>
    <m/>
    <m/>
    <m/>
    <m/>
    <m/>
    <n v="346411431087"/>
    <n v="143741414059"/>
    <s v="(i) Construction of the Kiira Vehicle Plant which undertaken by the UPDF through National Enterprise Corporation and Supervised by Technology Consults, stood at 68% as of 31st December 2020. However, the capitalization of the Kiira Vehicle Plant is lagging behind schedule with outstanding Interim Payment Certificates yet to be cleared due to budget shortfalls. It is also imperative to note that while the construction works and technology transfer are progressing, the Production System (Plant Machinery, Equipment &amp; Tools and Associated Processes) are yet to be funded. To provide space for contract manufacturing of picks along with capabilities for Bus and Truck Chassis Manufacturing, there is need to provide funding to support these key capabilities at the Kiira Vehicle Plant in Jinja._x000a__x000a_(ii) The Automotive Industrial &amp; Technology Park is one of the Strategic program projects in the Third National Development Plan (NDPIII) 2020/21 – 2024/25 in line with the overall theme of Sustainable Industrialization for inclusive growth, employment and sustainable wealth creation. Government has allocated funds to Kira Motors Corporation to purchase two (2) square miles for setting up the Automotive Industrial &amp; Technology Park to support a wide range of investments in motor vehicle parts manufacturing, vehicle testing and automotive technology innovation enterprises"/>
    <m/>
    <s v="Y"/>
  </r>
  <r>
    <s v="MoSTI MULTI YEAR COMMITMENTS.xlsx"/>
    <x v="43"/>
    <s v="1597 Retooling of Ministry of Science, Technology and Innovation"/>
    <x v="5"/>
    <x v="5"/>
    <x v="5"/>
    <x v="0"/>
    <m/>
    <m/>
    <s v="Under Implementation"/>
    <s v="Retooling Project"/>
    <n v="0"/>
    <n v="0"/>
    <n v="0"/>
    <n v="0"/>
    <n v="22290000000"/>
    <n v="22290000000"/>
    <n v="9802000000"/>
    <n v="7680000000"/>
    <n v="7055000000"/>
    <n v="5993000000"/>
    <m/>
    <n v="52820000000"/>
    <n v="52820000000"/>
    <s v="MINISTRY"/>
    <m/>
    <s v="N"/>
  </r>
  <r>
    <s v="MoSTI MULTI YEAR COMMITMENTS.xlsx"/>
    <x v="43"/>
    <s v="1597 Retooling of Ministry of Science, Technology and Innovation"/>
    <x v="5"/>
    <x v="5"/>
    <x v="5"/>
    <x v="0"/>
    <m/>
    <m/>
    <s v="Under Implementation"/>
    <s v="Social Project"/>
    <n v="7691278760"/>
    <n v="10000000000"/>
    <n v="0"/>
    <n v="0"/>
    <n v="185421000000"/>
    <n v="185421000000"/>
    <n v="179063100000"/>
    <n v="262818410000"/>
    <m/>
    <m/>
    <n v="0"/>
    <n v="644993788760"/>
    <n v="755987510000"/>
    <s v="SERICULTURE"/>
    <m/>
    <m/>
  </r>
  <r>
    <s v="MoSTI MULTI YEAR COMMITMENTS.xlsx"/>
    <x v="44"/>
    <s v="1513 National Science, Technology, Engineering and Innovation Skills Enhancement Project"/>
    <x v="5"/>
    <x v="5"/>
    <x v="5"/>
    <x v="0"/>
    <d v="2019-07-01T00:00:00"/>
    <d v="2024-06-30T00:00:00"/>
    <s v="Under Implementation"/>
    <s v="Infrastructure Project"/>
    <n v="10430000000"/>
    <n v="12400000000"/>
    <n v="0"/>
    <n v="0"/>
    <n v="49480000000"/>
    <n v="49480000000"/>
    <n v="24472000000"/>
    <n v="17218000000"/>
    <m/>
    <m/>
    <m/>
    <n v="114000000000"/>
    <n v="114000000000"/>
    <m/>
    <m/>
    <m/>
  </r>
  <r>
    <s v="MoSTI MULTI YEAR COMMITMENTS.xlsx"/>
    <x v="44"/>
    <s v="1513 National Science, Technology, Engineering and Innovation Skills Enhancement Project"/>
    <x v="5"/>
    <x v="5"/>
    <x v="5"/>
    <x v="1"/>
    <d v="2019-07-01T00:00:00"/>
    <d v="2024-07-01T00:00:00"/>
    <s v="Under Implementation"/>
    <s v="Infrastructure Project"/>
    <n v="36160000000"/>
    <n v="133356885000"/>
    <n v="0"/>
    <n v="0"/>
    <n v="137568815468"/>
    <n v="137568815468"/>
    <n v="11319098000"/>
    <n v="2177875000"/>
    <n v="0"/>
    <m/>
    <m/>
    <n v="320582673468"/>
    <n v="321980000000"/>
    <m/>
    <m/>
    <m/>
  </r>
  <r>
    <s v="MoTWA MYC Template Uganda Workshop v25.1.21.xlsx"/>
    <x v="45"/>
    <s v="1609 Retooling of Ministry of Tourism, Wildlife and Antiquitties "/>
    <x v="6"/>
    <x v="6"/>
    <x v="6"/>
    <x v="0"/>
    <d v="2020-07-01T00:00:00"/>
    <d v="2025-06-30T00:00:00"/>
    <s v="Under Implementation"/>
    <s v="Retooling Project"/>
    <n v="0"/>
    <n v="1117969000"/>
    <n v="500000000"/>
    <m/>
    <n v="8132031000"/>
    <n v="8632031000"/>
    <n v="5240000000"/>
    <n v="4360000000"/>
    <n v="3900000000"/>
    <m/>
    <m/>
    <n v="23250000000"/>
    <n v="23250000000"/>
    <m/>
    <m/>
    <m/>
  </r>
  <r>
    <s v="MoTWA MYC Template Uganda Workshop v25.1.21.xlsx"/>
    <x v="46"/>
    <s v="1699 Development of Museums and Heritage Sites for Cultural Tourism (Phase II) -022"/>
    <x v="6"/>
    <x v="6"/>
    <x v="6"/>
    <x v="0"/>
    <d v="2021-07-01T00:00:00"/>
    <d v="2026-06-30T00:00:00"/>
    <s v="Under Procurement"/>
    <s v="Infrastructure Project"/>
    <n v="0"/>
    <n v="0"/>
    <n v="0"/>
    <m/>
    <n v="8900000000"/>
    <n v="8900000000"/>
    <n v="11950000000"/>
    <n v="8650000000"/>
    <n v="10440000000"/>
    <n v="4380000000"/>
    <m/>
    <n v="44320000000"/>
    <n v="44320000000"/>
    <m/>
    <m/>
    <m/>
  </r>
  <r>
    <s v="MoTWA MYC Template Uganda Workshop v25.1.21.xlsx"/>
    <x v="47"/>
    <s v="1700 Mt. Rwenzori Tourism Infrastructure Development Project Phase II"/>
    <x v="6"/>
    <x v="6"/>
    <x v="6"/>
    <x v="0"/>
    <d v="2021-07-01T00:00:00"/>
    <d v="2026-06-30T00:00:00"/>
    <s v="Under Procurement"/>
    <s v="Infrastructure Project"/>
    <n v="0"/>
    <n v="0"/>
    <n v="0"/>
    <m/>
    <n v="10930000000"/>
    <n v="10930000000"/>
    <n v="14600000000"/>
    <n v="15290000000"/>
    <n v="17390000000"/>
    <n v="11480000000"/>
    <m/>
    <n v="69690000000"/>
    <n v="69690000000"/>
    <m/>
    <m/>
    <m/>
  </r>
  <r>
    <s v="MoTWA MYC Template Uganda Workshop v25.1.21.xlsx"/>
    <x v="48"/>
    <s v="1701 Development of Source of the Nile Project (Phase II)"/>
    <x v="6"/>
    <x v="6"/>
    <x v="6"/>
    <x v="0"/>
    <d v="2021-07-01T00:00:00"/>
    <d v="2026-06-30T00:00:00"/>
    <s v="Under Procurement"/>
    <s v="Infrastructure Project"/>
    <n v="0"/>
    <n v="0"/>
    <n v="0"/>
    <m/>
    <n v="25750000000"/>
    <n v="25750000000"/>
    <n v="17000000000"/>
    <n v="25300000000"/>
    <n v="16200000000"/>
    <n v="6300000000"/>
    <m/>
    <n v="90550000000"/>
    <n v="90550000000"/>
    <m/>
    <m/>
    <m/>
  </r>
  <r>
    <s v="MUST MYC Template Uganda Workshop v22.1.21-1 (2) (2).xlsx"/>
    <x v="49"/>
    <s v="0368 Development"/>
    <x v="7"/>
    <x v="7"/>
    <x v="7"/>
    <x v="0"/>
    <d v="2015-07-01T00:00:00"/>
    <d v="2022-06-30T00:00:00"/>
    <s v="Under Implementation"/>
    <s v="Infrastructure Project"/>
    <n v="14961223000"/>
    <n v="3026000000"/>
    <n v="5288675782"/>
    <n v="0"/>
    <n v="6214675782"/>
    <n v="11503351564"/>
    <n v="0"/>
    <n v="0"/>
    <n v="0"/>
    <n v="0"/>
    <n v="0"/>
    <n v="29490574564"/>
    <m/>
    <s v="i. The main assumption is that the project resources will flow appropriately. ii. The cummulative project expenditure is less than the total project cost mainly due inadequate funding and non release of some of the approved development funding by GoU. iii. The Current commitments are at Contract award level for continuation of of works for on-going projects including Faculty of Computing &amp; Informatics, Main Gate and Access road at Kihumuro campus"/>
    <m/>
    <s v="Y"/>
  </r>
  <r>
    <s v="MUST MYC Template Uganda Workshop v22.1.21-1 (2) (2).xlsx"/>
    <x v="50"/>
    <s v="1650 Retooling of Mbarara University of Science and Technology"/>
    <x v="7"/>
    <x v="7"/>
    <x v="7"/>
    <x v="0"/>
    <d v="2020-07-01T00:00:00"/>
    <d v="2025-06-30T00:00:00"/>
    <s v="Under Implementation"/>
    <s v="Retooling Project"/>
    <n v="0"/>
    <n v="659769000"/>
    <n v="0"/>
    <n v="0"/>
    <n v="1878540000"/>
    <n v="1878540000"/>
    <n v="1631121000"/>
    <n v="1658770000"/>
    <n v="1666800000"/>
    <n v="0"/>
    <n v="0"/>
    <n v="7495000000"/>
    <m/>
    <s v="i. Assumption is that appropriated resources will be released 100% to avoid project stalling and delays. ii. The trend of GoU funds release has been declining thus affecting ject execution. "/>
    <m/>
    <s v="N"/>
  </r>
  <r>
    <s v="MYC - MTIC Edited.xlsx"/>
    <x v="51"/>
    <s v="1495 Rural Industrial Development Project (OVOP Project Phase III)"/>
    <x v="8"/>
    <x v="8"/>
    <x v="8"/>
    <x v="0"/>
    <d v="2017-07-01T00:00:00"/>
    <d v="2022-06-30T00:00:00"/>
    <s v="Under Implementation"/>
    <s v="Social Project"/>
    <n v="1471357151"/>
    <n v="1207763000"/>
    <n v="450000000"/>
    <n v="0"/>
    <n v="31464360000"/>
    <n v="31914360000"/>
    <n v="0"/>
    <n v="0"/>
    <n v="0"/>
    <n v="0"/>
    <n v="0"/>
    <n v="34593480151"/>
    <m/>
    <s v="The project has only received 2% of the approved project Cost. Based on this the vote notes that there is a need for extention and be provided with UGX. 132,532,415,622 which is the balance based on the total project cost of UGX. 167,311,900,000."/>
    <m/>
    <s v="Y"/>
  </r>
  <r>
    <s v="MYC - MTIC Edited.xlsx"/>
    <x v="52"/>
    <s v="1689 Retooling of Ministry of Trade and Industry"/>
    <x v="8"/>
    <x v="8"/>
    <x v="8"/>
    <x v="0"/>
    <d v="2020-07-01T00:00:00"/>
    <d v="2025-06-30T00:00:00"/>
    <s v="Under Implementation"/>
    <s v="Retooling Project"/>
    <n v="0"/>
    <n v="426000000"/>
    <n v="0"/>
    <n v="0"/>
    <n v="2727500000"/>
    <n v="2727500000"/>
    <n v="3560000000"/>
    <n v="3027500000"/>
    <n v="1923000000"/>
    <n v="0"/>
    <n v="0"/>
    <n v="11664000000"/>
    <m/>
    <s v="The funds given per year are low given the Total project Cost"/>
    <m/>
    <s v="N"/>
  </r>
  <r>
    <s v="MYC - UEPB Edited.xlsx"/>
    <x v="53"/>
    <s v="1688 Retooling of Uganda Export Promotion Board"/>
    <x v="9"/>
    <x v="9"/>
    <x v="9"/>
    <x v="0"/>
    <d v="2020-07-01T00:00:00"/>
    <d v="2025-06-30T00:00:00"/>
    <s v="Under Implementation"/>
    <s v="Retooling Project"/>
    <n v="0"/>
    <n v="56280720"/>
    <n v="0"/>
    <n v="0"/>
    <n v="2263000000"/>
    <n v="2263000000"/>
    <n v="2219000280"/>
    <n v="1569000000"/>
    <n v="1159000000"/>
    <n v="0"/>
    <n v="0"/>
    <n v="7266281000"/>
    <m/>
    <s v="The funds given per year are low given the Total project Cost"/>
    <m/>
    <s v="Y"/>
  </r>
  <r>
    <s v="MYC Template Uganda Workshop for UNRA Rev03.xlsx"/>
    <x v="54"/>
    <s v="0265 Upgrade Atiak - Moyo-Afoji (104km)"/>
    <x v="10"/>
    <x v="10"/>
    <x v="10"/>
    <x v="0"/>
    <d v="2012-12-31T00:00:00"/>
    <d v="2024-06-30T00:00:00"/>
    <s v="Under Implementation"/>
    <s v="Infrastructure Project"/>
    <n v="260000000"/>
    <n v="4334763000"/>
    <n v="1542552458"/>
    <m/>
    <n v="15731567652"/>
    <n v="17274120110"/>
    <n v="7449891808"/>
    <n v="5100000000"/>
    <m/>
    <m/>
    <m/>
    <n v="34418774918"/>
    <n v="39420837045"/>
    <m/>
    <m/>
    <s v="Y"/>
  </r>
  <r>
    <s v="MYC Template Uganda Workshop for UNRA Rev03.xlsx"/>
    <x v="54"/>
    <s v="0265 Upgrade Atiak - Moyo-Afoji (104km)"/>
    <x v="10"/>
    <x v="10"/>
    <x v="10"/>
    <x v="1"/>
    <d v="2012-12-31T00:00:00"/>
    <d v="2024-06-30T00:00:00"/>
    <s v="Under Implementation"/>
    <s v="Infrastructure Project"/>
    <n v="0"/>
    <n v="23972460300"/>
    <n v="0"/>
    <m/>
    <n v="87000000000"/>
    <n v="87000000000"/>
    <n v="41200000000"/>
    <n v="28230000000"/>
    <m/>
    <m/>
    <m/>
    <n v="180402460300"/>
    <n v="34944928875"/>
    <m/>
    <m/>
    <m/>
  </r>
  <r>
    <s v="MYC Template Uganda Workshop for UNRA Rev03.xlsx"/>
    <x v="55"/>
    <s v="0267 Improvement of Ferry Services"/>
    <x v="10"/>
    <x v="10"/>
    <x v="10"/>
    <x v="0"/>
    <d v="2015-07-01T00:00:00"/>
    <d v="2022-06-30T00:00:00"/>
    <s v="Under Implementation"/>
    <s v="Infrastructure Project"/>
    <n v="57762522342"/>
    <n v="48284110000"/>
    <n v="16805923879"/>
    <m/>
    <n v="91700000000"/>
    <n v="108505923879"/>
    <m/>
    <m/>
    <m/>
    <m/>
    <m/>
    <n v="214552556221"/>
    <n v="157410000000"/>
    <m/>
    <m/>
    <s v="N"/>
  </r>
  <r>
    <s v="MYC Template Uganda Workshop for UNRA Rev03.xlsx"/>
    <x v="56"/>
    <s v="0952 Design Masaka-Bukakata road"/>
    <x v="10"/>
    <x v="10"/>
    <x v="10"/>
    <x v="0"/>
    <d v="2014-07-01T00:00:00"/>
    <d v="2022-06-30T00:00:00"/>
    <s v="Under Implementation"/>
    <s v="Infrastructure Project"/>
    <n v="38787665052"/>
    <n v="47795233000"/>
    <n v="1408036890"/>
    <m/>
    <n v="4000000000"/>
    <n v="5408036890"/>
    <m/>
    <m/>
    <m/>
    <m/>
    <m/>
    <n v="91990934942"/>
    <n v="74695559060"/>
    <m/>
    <m/>
    <m/>
  </r>
  <r>
    <s v="MYC Template Uganda Workshop for UNRA Rev03.xlsx"/>
    <x v="56"/>
    <s v="0952 Design Masaka-Bukakata road"/>
    <x v="10"/>
    <x v="10"/>
    <x v="10"/>
    <x v="1"/>
    <d v="2014-07-02T00:00:00"/>
    <d v="2022-06-30T00:00:00"/>
    <s v="Under Implementation"/>
    <s v="Infrastructure Project"/>
    <n v="72507706648"/>
    <n v="34262272350"/>
    <n v="0"/>
    <m/>
    <n v="0"/>
    <n v="0"/>
    <m/>
    <m/>
    <m/>
    <m/>
    <m/>
    <n v="106769978998"/>
    <n v="95067075167"/>
    <m/>
    <m/>
    <m/>
  </r>
  <r>
    <s v="MYC Template Uganda Workshop for UNRA Rev03.xlsx"/>
    <x v="57"/>
    <s v="1040 Design Kapchorwa-Suam road (77km)"/>
    <x v="10"/>
    <x v="10"/>
    <x v="10"/>
    <x v="0"/>
    <d v="2013-01-31T00:00:00"/>
    <d v="2022-06-30T00:00:00"/>
    <s v="Under Implementation"/>
    <s v="Infrastructure Project"/>
    <n v="27861355986"/>
    <n v="21676801000"/>
    <n v="0"/>
    <m/>
    <n v="6558990392"/>
    <n v="6558990392"/>
    <n v="0"/>
    <n v="0"/>
    <n v="0"/>
    <m/>
    <m/>
    <n v="56097147378"/>
    <n v="62738261349"/>
    <m/>
    <m/>
    <m/>
  </r>
  <r>
    <s v="MYC Template Uganda Workshop for UNRA Rev03.xlsx"/>
    <x v="57"/>
    <s v="1040 Design Kapchorwa-Suam road (77km)"/>
    <x v="10"/>
    <x v="10"/>
    <x v="10"/>
    <x v="1"/>
    <d v="2013-01-31T00:00:00"/>
    <d v="2022-06-30T00:00:00"/>
    <s v="Under Implementation"/>
    <s v="Infrastructure Project"/>
    <n v="79897496374"/>
    <n v="86739930000"/>
    <n v="0"/>
    <m/>
    <n v="87846368568"/>
    <n v="87846368568"/>
    <n v="0"/>
    <n v="0"/>
    <n v="0"/>
    <m/>
    <m/>
    <n v="254483794942"/>
    <n v="216570000000"/>
    <m/>
    <m/>
    <m/>
  </r>
  <r>
    <s v="MYC Template Uganda Workshop for UNRA Rev03.xlsx"/>
    <x v="58"/>
    <s v="1041 Design Kyenjojo-Hoima-Masindi-Kigumba (238km)"/>
    <x v="10"/>
    <x v="10"/>
    <x v="10"/>
    <x v="0"/>
    <d v="2014-01-31T00:00:00"/>
    <d v="2021-06-30T00:00:00"/>
    <s v="Under Implementation"/>
    <s v="Infrastructure Project"/>
    <n v="26632189765"/>
    <n v="8363081000"/>
    <n v="0"/>
    <m/>
    <n v="7269113744"/>
    <n v="7269113744"/>
    <n v="0"/>
    <n v="0"/>
    <n v="0"/>
    <m/>
    <m/>
    <n v="42264384509"/>
    <n v="92476741437"/>
    <m/>
    <m/>
    <m/>
  </r>
  <r>
    <s v="MYC Template Uganda Workshop for UNRA Rev03.xlsx"/>
    <x v="58"/>
    <s v="1041 Design Kyenjojo-Hoima-Masindi-Kigumba (238km)"/>
    <x v="10"/>
    <x v="10"/>
    <x v="10"/>
    <x v="1"/>
    <d v="2014-01-31T00:00:00"/>
    <d v="2021-06-30T00:00:00"/>
    <s v="Under Implementation"/>
    <s v="Infrastructure Project"/>
    <n v="176786282296"/>
    <n v="105162570000"/>
    <n v="0"/>
    <m/>
    <n v="79964761227"/>
    <n v="79964761227"/>
    <n v="0"/>
    <n v="0"/>
    <n v="0"/>
    <m/>
    <m/>
    <n v="361913613523"/>
    <n v="247728959498"/>
    <m/>
    <m/>
    <m/>
  </r>
  <r>
    <s v="MYC Template Uganda Workshop for UNRA Rev03.xlsx"/>
    <x v="59"/>
    <s v="1176 Hoima-Wanseko Road (83Km)"/>
    <x v="10"/>
    <x v="10"/>
    <x v="10"/>
    <x v="0"/>
    <d v="2011-11-30T00:00:00"/>
    <d v="2022-06-30T00:00:00"/>
    <s v="Under Implementation"/>
    <s v="Infrastructure Project"/>
    <n v="9719477048"/>
    <n v="221920600000"/>
    <n v="83304597757"/>
    <m/>
    <n v="72904083180"/>
    <n v="156208680937"/>
    <n v="0"/>
    <n v="0"/>
    <n v="0"/>
    <m/>
    <m/>
    <n v="387848757985"/>
    <n v="559930865492"/>
    <m/>
    <m/>
    <m/>
  </r>
  <r>
    <s v="MYC Template Uganda Workshop for UNRA Rev03.xlsx"/>
    <x v="59"/>
    <s v="1176 Hoima-Wanseko Road (83Km)"/>
    <x v="10"/>
    <x v="10"/>
    <x v="10"/>
    <x v="1"/>
    <d v="2011-11-30T00:00:00"/>
    <d v="2022-06-30T00:00:00"/>
    <s v="Under Implementation"/>
    <s v="Infrastructure Project"/>
    <n v="57111560841"/>
    <n v="743706624600"/>
    <n v="0"/>
    <m/>
    <n v="561121256695"/>
    <n v="561121256695"/>
    <n v="0"/>
    <n v="0"/>
    <n v="0"/>
    <m/>
    <m/>
    <n v="1361939442136"/>
    <n v="2163369253036"/>
    <m/>
    <m/>
    <m/>
  </r>
  <r>
    <s v="MYC Template Uganda Workshop for UNRA Rev03.xlsx"/>
    <x v="60"/>
    <s v="1274 Musita-Lumino-Busia/Majanji Road"/>
    <x v="10"/>
    <x v="10"/>
    <x v="10"/>
    <x v="0"/>
    <d v="2017-07-07T00:00:00"/>
    <d v="2023-06-30T00:00:00"/>
    <s v="Under Implementation"/>
    <s v="Infrastructure Project"/>
    <n v="177154722664"/>
    <n v="22030000000"/>
    <n v="22076166640"/>
    <m/>
    <n v="18600000000"/>
    <n v="40676166640"/>
    <n v="27900000000"/>
    <n v="0"/>
    <n v="0"/>
    <m/>
    <m/>
    <n v="267760889304"/>
    <n v="221491112453"/>
    <s v="The project scope has been expanded to include the Tororo - Busia Section"/>
    <m/>
    <m/>
  </r>
  <r>
    <s v="MYC Template Uganda Workshop for UNRA Rev03.xlsx"/>
    <x v="61"/>
    <s v="1275 Olwiyo-Gulu-Kitgum Road"/>
    <x v="10"/>
    <x v="10"/>
    <x v="10"/>
    <x v="0"/>
    <d v="2014-03-31T00:00:00"/>
    <d v="2022-03-31T00:00:00"/>
    <s v="Under Defects Liability Period"/>
    <s v="Infrastructure Project"/>
    <n v="147804336769"/>
    <n v="32100000000"/>
    <n v="10849579420"/>
    <m/>
    <n v="43624153909"/>
    <n v="54473733329"/>
    <n v="0"/>
    <n v="0"/>
    <n v="0"/>
    <m/>
    <m/>
    <n v="234378070098"/>
    <n v="553497626990"/>
    <m/>
    <m/>
    <m/>
  </r>
  <r>
    <s v="MYC Template Uganda Workshop for UNRA Rev03.xlsx"/>
    <x v="62"/>
    <s v="1276 Mubende-Kakumiro-Kagadi Road"/>
    <x v="10"/>
    <x v="10"/>
    <x v="10"/>
    <x v="0"/>
    <d v="2014-03-31T00:00:00"/>
    <m/>
    <s v="Under Implementation"/>
    <s v="Infrastructure Project"/>
    <n v="394008681818"/>
    <n v="24170000000"/>
    <n v="41501567440"/>
    <m/>
    <n v="2432000000"/>
    <n v="43933567440"/>
    <n v="0"/>
    <n v="0"/>
    <n v="0"/>
    <m/>
    <m/>
    <n v="462112249258"/>
    <n v="496772591592"/>
    <m/>
    <m/>
    <m/>
  </r>
  <r>
    <s v="MYC Template Uganda Workshop for UNRA Rev03.xlsx"/>
    <x v="63"/>
    <s v="1277 Kampala Northern Bypass Phase 2"/>
    <x v="10"/>
    <x v="10"/>
    <x v="10"/>
    <x v="0"/>
    <d v="2014-03-31T00:00:00"/>
    <d v="2023-06-30T00:00:00"/>
    <s v="Under Implementation"/>
    <s v="Infrastructure Project"/>
    <n v="273680654381"/>
    <n v="55020000000"/>
    <n v="50238770926"/>
    <m/>
    <n v="33884400000"/>
    <n v="84123170926"/>
    <n v="756000000"/>
    <n v="0"/>
    <n v="0"/>
    <m/>
    <m/>
    <n v="413579825307"/>
    <n v="278470272988"/>
    <m/>
    <m/>
    <m/>
  </r>
  <r>
    <s v="MYC Template Uganda Workshop for UNRA Rev03.xlsx"/>
    <x v="63"/>
    <s v="1277 Kampala Northern Bypass Phase 2"/>
    <x v="10"/>
    <x v="10"/>
    <x v="10"/>
    <x v="1"/>
    <d v="2014-03-31T00:00:00"/>
    <d v="2023-06-30T00:00:00"/>
    <s v="Under Implementation"/>
    <s v="Infrastructure Project"/>
    <n v="141260169293"/>
    <n v="0"/>
    <n v="0"/>
    <m/>
    <n v="0"/>
    <n v="0"/>
    <n v="0"/>
    <n v="0"/>
    <n v="0"/>
    <m/>
    <m/>
    <n v="141260169293"/>
    <n v="163472863985"/>
    <m/>
    <m/>
    <m/>
  </r>
  <r>
    <s v="MYC Template Uganda Workshop for UNRA Rev03.xlsx"/>
    <x v="64"/>
    <s v="1279 Seeta-Kyaliwajjala-Matugga-Wakiso-Buloba-Nsangi"/>
    <x v="10"/>
    <x v="10"/>
    <x v="10"/>
    <x v="0"/>
    <d v="2014-02-01T00:00:00"/>
    <d v="2024-06-30T00:00:00"/>
    <s v="Under Implementation"/>
    <s v="Infrastructure Project"/>
    <n v="0"/>
    <n v="23050000000"/>
    <n v="0"/>
    <m/>
    <n v="86666666666"/>
    <n v="86666666666"/>
    <n v="70000000000"/>
    <n v="70000000000"/>
    <n v="0"/>
    <m/>
    <m/>
    <n v="249716666666"/>
    <m/>
    <m/>
    <m/>
    <m/>
  </r>
  <r>
    <s v="MYC Template Uganda Workshop for UNRA Rev03.xlsx"/>
    <x v="65"/>
    <s v="1280 Najjanankumbi-Busabala Road and Nambole-Namilyango-Seeta"/>
    <x v="10"/>
    <x v="10"/>
    <x v="10"/>
    <x v="0"/>
    <d v="2014-02-02T00:00:00"/>
    <d v="2024-07-01T00:00:00"/>
    <s v="Under Implementation"/>
    <s v="Infrastructure Project"/>
    <n v="0"/>
    <n v="23050000000"/>
    <n v="0"/>
    <m/>
    <n v="95000000000"/>
    <n v="95000000000"/>
    <n v="90000000000"/>
    <n v="0"/>
    <n v="0"/>
    <m/>
    <m/>
    <n v="208050000000"/>
    <m/>
    <m/>
    <m/>
    <m/>
  </r>
  <r>
    <s v="MYC Template Uganda Workshop for UNRA Rev03.xlsx"/>
    <x v="66"/>
    <s v="1281 Tirinyi-Pallisa-Kumi/Kamonkoli Road"/>
    <x v="10"/>
    <x v="10"/>
    <x v="10"/>
    <x v="0"/>
    <d v="2014-03-31T00:00:00"/>
    <d v="2022-12-28T00:00:00"/>
    <s v="Under Implementation"/>
    <s v="Infrastructure Project"/>
    <n v="97293886975"/>
    <n v="41100000000"/>
    <n v="0"/>
    <m/>
    <n v="15681624615"/>
    <n v="15681624615"/>
    <n v="0"/>
    <n v="0"/>
    <n v="0"/>
    <m/>
    <m/>
    <n v="154075511590"/>
    <n v="153492543139"/>
    <m/>
    <m/>
    <m/>
  </r>
  <r>
    <s v="MYC Template Uganda Workshop for UNRA Rev03.xlsx"/>
    <x v="66"/>
    <s v="1281 Tirinyi-Pallisa-Kumi/Kamonkoli Road"/>
    <x v="10"/>
    <x v="10"/>
    <x v="10"/>
    <x v="1"/>
    <d v="2014-03-31T00:00:00"/>
    <d v="2022-12-28T00:00:00"/>
    <s v="Under Implementation"/>
    <s v="Infrastructure Project"/>
    <n v="182604126716"/>
    <n v="115141500000"/>
    <n v="0"/>
    <m/>
    <n v="43932000000"/>
    <n v="43932000000"/>
    <n v="0"/>
    <n v="0"/>
    <n v="0"/>
    <m/>
    <m/>
    <n v="341677626716"/>
    <n v="326145358150"/>
    <m/>
    <m/>
    <m/>
  </r>
  <r>
    <s v="MYC Template Uganda Workshop for UNRA Rev03.xlsx"/>
    <x v="67"/>
    <s v="1310 Albertine Region Sustainable Development Project -113"/>
    <x v="10"/>
    <x v="10"/>
    <x v="10"/>
    <x v="0"/>
    <d v="2014-07-01T00:00:00"/>
    <d v="2022-06-30T00:00:00"/>
    <s v="Under Implementation"/>
    <s v="Infrastructure Project"/>
    <n v="62728701955"/>
    <n v="0"/>
    <n v="0"/>
    <m/>
    <m/>
    <n v="0"/>
    <n v="0"/>
    <n v="0"/>
    <n v="0"/>
    <m/>
    <m/>
    <n v="62728701955"/>
    <n v="8885988329"/>
    <m/>
    <m/>
    <m/>
  </r>
  <r>
    <s v="MYC Template Uganda Workshop for UNRA Rev03.xlsx"/>
    <x v="67"/>
    <s v="1310 Albertine Region Sustainable Development Project -113"/>
    <x v="10"/>
    <x v="10"/>
    <x v="10"/>
    <x v="1"/>
    <d v="2014-07-01T00:00:00"/>
    <d v="2022-06-30T00:00:00"/>
    <s v="Under Implementation"/>
    <s v="Infrastructure Project"/>
    <n v="79873604750"/>
    <n v="58952448000"/>
    <n v="0"/>
    <m/>
    <m/>
    <n v="0"/>
    <n v="0"/>
    <n v="0"/>
    <n v="0"/>
    <m/>
    <m/>
    <n v="138826052750"/>
    <n v="213263719902"/>
    <m/>
    <m/>
    <m/>
  </r>
  <r>
    <s v="MYC Template Uganda Workshop for UNRA Rev03.xlsx"/>
    <x v="68"/>
    <s v="1311 Upgrading Rukungiri-Kihihi-Ishasha/Kanungu Road"/>
    <x v="10"/>
    <x v="10"/>
    <x v="10"/>
    <x v="0"/>
    <d v="2014-07-01T00:00:00"/>
    <d v="2022-06-30T00:00:00"/>
    <s v="Under Implementation"/>
    <s v="Infrastructure Project"/>
    <n v="2595543775"/>
    <n v="6385000000"/>
    <n v="0"/>
    <m/>
    <n v="7760000000"/>
    <n v="7760000000"/>
    <m/>
    <n v="0"/>
    <n v="0"/>
    <m/>
    <m/>
    <n v="16740543775"/>
    <n v="48743188197"/>
    <m/>
    <m/>
    <m/>
  </r>
  <r>
    <s v="MYC Template Uganda Workshop for UNRA Rev03.xlsx"/>
    <x v="68"/>
    <s v="1311 Upgrading Rukungiri-Kihihi-Ishasha/Kanungu Road"/>
    <x v="10"/>
    <x v="10"/>
    <x v="10"/>
    <x v="1"/>
    <d v="2014-07-01T00:00:00"/>
    <d v="2022-06-30T00:00:00"/>
    <m/>
    <s v="Infrastructure Project"/>
    <n v="55973530506"/>
    <n v="45469378350"/>
    <n v="0"/>
    <m/>
    <n v="51750000000"/>
    <n v="51750000000"/>
    <m/>
    <m/>
    <m/>
    <m/>
    <m/>
    <n v="153192908856"/>
    <n v="177010000000"/>
    <m/>
    <m/>
    <m/>
  </r>
  <r>
    <s v="MYC Template Uganda Workshop for UNRA Rev03.xlsx"/>
    <x v="69"/>
    <s v="1312 Upgrading Mbale-Bubulo-Lwakhakha Road"/>
    <x v="10"/>
    <x v="10"/>
    <x v="10"/>
    <x v="0"/>
    <d v="2014-07-01T00:00:00"/>
    <d v="2022-06-30T00:00:00"/>
    <m/>
    <s v="Infrastructure Project"/>
    <n v="17140483353"/>
    <n v="1800000000"/>
    <n v="0"/>
    <m/>
    <m/>
    <n v="0"/>
    <m/>
    <m/>
    <m/>
    <m/>
    <m/>
    <n v="18940483353"/>
    <n v="26957278027"/>
    <m/>
    <m/>
    <m/>
  </r>
  <r>
    <s v="MYC Template Uganda Workshop for UNRA Rev03.xlsx"/>
    <x v="69"/>
    <s v="1312 Upgrading Mbale-Bubulo-Lwakhakha Road"/>
    <x v="10"/>
    <x v="10"/>
    <x v="10"/>
    <x v="1"/>
    <d v="2014-07-01T00:00:00"/>
    <d v="2021-06-30T00:00:00"/>
    <s v="Under Implementation"/>
    <s v="Infrastructure Project"/>
    <n v="108065394088"/>
    <n v="5350241700"/>
    <n v="0"/>
    <m/>
    <m/>
    <n v="0"/>
    <n v="0"/>
    <n v="0"/>
    <n v="0"/>
    <m/>
    <m/>
    <n v="113415635788"/>
    <n v="136830000000"/>
    <m/>
    <m/>
    <m/>
  </r>
  <r>
    <s v="MYC Template Uganda Workshop for UNRA Rev03.xlsx"/>
    <x v="70"/>
    <s v="1313 North Eastern Road-Corridor Asset Management Project"/>
    <x v="10"/>
    <x v="10"/>
    <x v="10"/>
    <x v="0"/>
    <d v="2014-07-01T00:00:00"/>
    <d v="2024-06-30T00:00:00"/>
    <s v="Under Implementation"/>
    <s v="Infrastructure Project"/>
    <n v="132684902"/>
    <n v="3273400000"/>
    <n v="0"/>
    <m/>
    <n v="0"/>
    <n v="0"/>
    <n v="0"/>
    <n v="0"/>
    <n v="0"/>
    <m/>
    <m/>
    <n v="3406084902"/>
    <n v="26437245869"/>
    <m/>
    <m/>
    <m/>
  </r>
  <r>
    <s v="MYC Template Uganda Workshop for UNRA Rev03.xlsx"/>
    <x v="70"/>
    <s v="1313 North Eastern Road-Corridor Asset Management Project"/>
    <x v="10"/>
    <x v="10"/>
    <x v="10"/>
    <x v="1"/>
    <d v="2014-07-01T00:00:00"/>
    <d v="2024-06-30T00:00:00"/>
    <s v="Under Implementation"/>
    <s v="Infrastructure Project"/>
    <n v="47763964674"/>
    <n v="74055174750"/>
    <n v="0"/>
    <m/>
    <n v="165280000000"/>
    <n v="165280000000"/>
    <n v="162560000000"/>
    <n v="92850000000"/>
    <n v="0"/>
    <m/>
    <m/>
    <n v="542509139424"/>
    <n v="634493900859"/>
    <m/>
    <m/>
    <m/>
  </r>
  <r>
    <s v="MYC Template Uganda Workshop for UNRA Rev03.xlsx"/>
    <x v="71"/>
    <s v="1319 Kampala Flyover"/>
    <x v="10"/>
    <x v="10"/>
    <x v="10"/>
    <x v="0"/>
    <d v="2015-07-01T00:00:00"/>
    <d v="2024-12-30T00:00:00"/>
    <s v="Under Implementation"/>
    <s v="Infrastructure Project"/>
    <n v="11415168262"/>
    <n v="4372589000"/>
    <n v="4259223380"/>
    <m/>
    <n v="57030000000"/>
    <n v="61289223380"/>
    <n v="57030000000"/>
    <n v="5703000000"/>
    <n v="0"/>
    <m/>
    <m/>
    <n v="139809980642"/>
    <m/>
    <m/>
    <m/>
    <m/>
  </r>
  <r>
    <s v="MYC Template Uganda Workshop for UNRA Rev03.xlsx"/>
    <x v="71"/>
    <s v="1319 Kampala Flyover"/>
    <x v="10"/>
    <x v="10"/>
    <x v="10"/>
    <x v="1"/>
    <d v="2015-07-01T00:00:00"/>
    <d v="2024-12-30T00:00:00"/>
    <s v="Under Implementation"/>
    <s v="Infrastructure Project"/>
    <n v="67367325601"/>
    <n v="54308407500"/>
    <n v="0"/>
    <m/>
    <n v="187100000000"/>
    <n v="187100000000"/>
    <n v="337120000000"/>
    <n v="399600000000"/>
    <n v="0"/>
    <m/>
    <m/>
    <n v="1045495733101"/>
    <m/>
    <m/>
    <m/>
    <m/>
  </r>
  <r>
    <s v="MYC Template Uganda Workshop for UNRA Rev03.xlsx"/>
    <x v="72"/>
    <s v="1320  Construction of 66 Selected Bridges"/>
    <x v="10"/>
    <x v="10"/>
    <x v="10"/>
    <x v="0"/>
    <d v="2015-07-01T00:00:00"/>
    <d v="2023-06-30T00:00:00"/>
    <s v="Under Implementation"/>
    <s v="Infrastructure Project"/>
    <n v="176601291038"/>
    <n v="56850000000"/>
    <n v="29626560801"/>
    <m/>
    <n v="173935000000"/>
    <n v="203561560801"/>
    <n v="124545050000"/>
    <m/>
    <m/>
    <m/>
    <m/>
    <n v="561557901839"/>
    <n v="316459278948"/>
    <m/>
    <m/>
    <m/>
  </r>
  <r>
    <s v="MYC Template Uganda Workshop for UNRA Rev03.xlsx"/>
    <x v="73"/>
    <s v="1322 Upgrading of Muyembe-Nakapiripirit (92 km)"/>
    <x v="10"/>
    <x v="10"/>
    <x v="10"/>
    <x v="0"/>
    <d v="2015-07-01T00:00:00"/>
    <d v="2024-06-30T00:00:00"/>
    <s v="Under Implementation"/>
    <s v="Infrastructure Project"/>
    <n v="0"/>
    <n v="200000000"/>
    <n v="0"/>
    <m/>
    <n v="100000000"/>
    <n v="100000000"/>
    <n v="20000000"/>
    <m/>
    <n v="0"/>
    <m/>
    <m/>
    <n v="320000000"/>
    <n v="0"/>
    <m/>
    <m/>
    <m/>
  </r>
  <r>
    <s v="MYC Template Uganda Workshop for UNRA Rev03.xlsx"/>
    <x v="73"/>
    <s v="1322 Upgrading of Muyembe-Nakapiripirit (92 km)"/>
    <x v="10"/>
    <x v="10"/>
    <x v="10"/>
    <x v="1"/>
    <d v="2015-07-01T00:00:00"/>
    <d v="2024-06-30T00:00:00"/>
    <s v="Under Implementation"/>
    <s v="Infrastructure Project"/>
    <n v="60031101329"/>
    <n v="84820905000"/>
    <n v="0"/>
    <m/>
    <n v="90000000000"/>
    <n v="90000000000"/>
    <n v="45000000000"/>
    <n v="0"/>
    <n v="0"/>
    <m/>
    <m/>
    <n v="279852006329"/>
    <n v="411992962010"/>
    <m/>
    <m/>
    <m/>
  </r>
  <r>
    <s v="MYC Template Uganda Workshop for UNRA Rev03.xlsx"/>
    <x v="74"/>
    <s v="1402 Rwenkunye- Apac- Lira-Acholibur road"/>
    <x v="10"/>
    <x v="10"/>
    <x v="10"/>
    <x v="0"/>
    <d v="2016-07-01T00:00:00"/>
    <d v="2025-12-30T00:00:00"/>
    <s v="Under Implementation"/>
    <s v="Infrastructure Project"/>
    <n v="0"/>
    <n v="6000000000"/>
    <n v="0"/>
    <m/>
    <n v="250000000"/>
    <n v="250000000"/>
    <n v="0"/>
    <n v="0"/>
    <n v="0"/>
    <m/>
    <m/>
    <n v="6250000000"/>
    <m/>
    <m/>
    <m/>
    <m/>
  </r>
  <r>
    <s v="MYC Template Uganda Workshop for UNRA Rev03.xlsx"/>
    <x v="74"/>
    <s v="1402 Rwenkunye- Apac- Lira-Acholibur road"/>
    <x v="10"/>
    <x v="10"/>
    <x v="10"/>
    <x v="1"/>
    <d v="2016-07-01T00:00:00"/>
    <d v="2025-12-30T00:00:00"/>
    <s v="Under Implementation"/>
    <s v="Infrastructure Project"/>
    <n v="63934359510"/>
    <n v="112071060000"/>
    <n v="0"/>
    <m/>
    <m/>
    <n v="0"/>
    <n v="0"/>
    <n v="0"/>
    <n v="0"/>
    <m/>
    <m/>
    <n v="176005419510"/>
    <m/>
    <m/>
    <m/>
    <m/>
  </r>
  <r>
    <s v="MYC Template Uganda Workshop for UNRA Rev03.xlsx"/>
    <x v="75"/>
    <s v="1403 Soroti-Katakwi-Moroto-Lokitonyala road"/>
    <x v="10"/>
    <x v="10"/>
    <x v="10"/>
    <x v="0"/>
    <d v="2016-07-01T00:00:00"/>
    <d v="2024-12-30T00:00:00"/>
    <s v="Under Implementation"/>
    <s v="Infrastructure Project"/>
    <n v="216721106005"/>
    <n v="44300000000"/>
    <n v="43014777643"/>
    <m/>
    <n v="20000000000"/>
    <n v="63014777643"/>
    <n v="0"/>
    <n v="0"/>
    <n v="0"/>
    <m/>
    <m/>
    <n v="324035883648"/>
    <n v="725156898061"/>
    <m/>
    <m/>
    <m/>
  </r>
  <r>
    <s v="MYC Template Uganda Workshop for UNRA Rev03.xlsx"/>
    <x v="76"/>
    <s v="1404 Kibuye- Busega- Mpigi"/>
    <x v="10"/>
    <x v="10"/>
    <x v="10"/>
    <x v="0"/>
    <d v="2016-07-01T00:00:00"/>
    <d v="2023-12-30T00:00:00"/>
    <s v="Under Implementation"/>
    <s v="Infrastructure Project"/>
    <n v="152189120"/>
    <n v="2400162000"/>
    <n v="0"/>
    <m/>
    <n v="811089750"/>
    <n v="811089750"/>
    <n v="0"/>
    <n v="0"/>
    <n v="0"/>
    <m/>
    <m/>
    <n v="3363440870"/>
    <m/>
    <m/>
    <m/>
    <m/>
  </r>
  <r>
    <s v="MYC Template Uganda Workshop for UNRA Rev03.xlsx"/>
    <x v="76"/>
    <s v="1404 Kibuye- Busega- Mpigi"/>
    <x v="10"/>
    <x v="10"/>
    <x v="10"/>
    <x v="1"/>
    <d v="2016-07-01T00:00:00"/>
    <d v="2023-12-30T00:00:00"/>
    <s v="Under Implementation"/>
    <s v="Infrastructure Project"/>
    <n v="87779853986"/>
    <n v="67626441000"/>
    <n v="0"/>
    <m/>
    <n v="113776000000"/>
    <n v="113776000000"/>
    <n v="284440000000"/>
    <n v="0"/>
    <n v="0"/>
    <m/>
    <m/>
    <n v="553622294986"/>
    <n v="563529952124"/>
    <m/>
    <m/>
    <m/>
  </r>
  <r>
    <s v="MYC Template Uganda Workshop for UNRA Rev03.xlsx"/>
    <x v="77"/>
    <s v="1490 Luwero- Butalangu"/>
    <x v="10"/>
    <x v="10"/>
    <x v="10"/>
    <x v="0"/>
    <d v="2017-07-01T00:00:00"/>
    <d v="2022-06-30T00:00:00"/>
    <s v="Under Procurement"/>
    <s v="Infrastructure Project"/>
    <n v="0"/>
    <n v="0"/>
    <n v="0"/>
    <m/>
    <n v="100000000"/>
    <n v="100000000"/>
    <m/>
    <n v="0"/>
    <n v="0"/>
    <m/>
    <m/>
    <n v="100000000"/>
    <m/>
    <m/>
    <m/>
    <m/>
  </r>
  <r>
    <s v="MYC Template Uganda Workshop for UNRA Rev03.xlsx"/>
    <x v="77"/>
    <s v="1490 Luwero- Butalangu"/>
    <x v="10"/>
    <x v="10"/>
    <x v="10"/>
    <x v="1"/>
    <d v="2017-07-01T00:00:00"/>
    <d v="2022-06-30T00:00:00"/>
    <s v="Under Procurement"/>
    <s v="Infrastructure Project"/>
    <n v="95912000"/>
    <n v="24682499550"/>
    <n v="0"/>
    <m/>
    <n v="37764235000"/>
    <n v="37764235000"/>
    <m/>
    <n v="0"/>
    <n v="0"/>
    <m/>
    <m/>
    <n v="62542646550"/>
    <m/>
    <m/>
    <m/>
    <m/>
  </r>
  <r>
    <s v="MYC Template Uganda Workshop for UNRA Rev03.xlsx"/>
    <x v="78"/>
    <e v="#N/A"/>
    <x v="10"/>
    <x v="10"/>
    <x v="10"/>
    <x v="0"/>
    <d v="2018-07-01T00:00:00"/>
    <d v="2022-06-30T00:00:00"/>
    <s v="Under Implementation"/>
    <s v="Infrastructure Project"/>
    <n v="1220023337230"/>
    <n v="436188970000"/>
    <n v="0"/>
    <m/>
    <n v="513680000000"/>
    <n v="513680000000"/>
    <m/>
    <m/>
    <m/>
    <m/>
    <m/>
    <n v="2169892307230"/>
    <m/>
    <m/>
    <m/>
    <m/>
  </r>
  <r>
    <s v="MYC Template Uganda Workshop for UNRA Rev03.xlsx"/>
    <x v="79"/>
    <s v="1536 Upgrading of Kitala-Gerenge Road"/>
    <x v="10"/>
    <x v="10"/>
    <x v="10"/>
    <x v="0"/>
    <d v="2019-07-01T00:00:00"/>
    <d v="2023-06-30T00:00:00"/>
    <s v="Under Implementation"/>
    <s v="Infrastructure Project"/>
    <n v="15116715132"/>
    <n v="14000000000"/>
    <n v="10455258122"/>
    <m/>
    <m/>
    <n v="10455258122"/>
    <n v="0"/>
    <n v="0"/>
    <n v="0"/>
    <m/>
    <m/>
    <n v="39571973254"/>
    <n v="21450000000"/>
    <m/>
    <m/>
    <m/>
  </r>
  <r>
    <s v="MYC Template Uganda Workshop for UNRA Rev03.xlsx"/>
    <x v="80"/>
    <s v="1537 Upgrading of Kaya-Yei Road"/>
    <x v="10"/>
    <x v="10"/>
    <x v="10"/>
    <x v="0"/>
    <d v="2019-07-01T00:00:00"/>
    <d v="2024-06-30T00:00:00"/>
    <s v="Under Implementation"/>
    <s v="Infrastructure Project"/>
    <n v="4186582565"/>
    <n v="1000000000"/>
    <n v="0"/>
    <m/>
    <n v="18000000000"/>
    <n v="18000000000"/>
    <n v="19759600000"/>
    <n v="1987700000"/>
    <n v="0"/>
    <m/>
    <m/>
    <n v="44933882565"/>
    <m/>
    <m/>
    <m/>
    <m/>
  </r>
  <r>
    <s v="MYC Template Uganda Workshop for UNRA Rev03.xlsx"/>
    <x v="81"/>
    <s v="1543 Kihihi-Butogota-Bohoma Road"/>
    <x v="10"/>
    <x v="10"/>
    <x v="10"/>
    <x v="0"/>
    <d v="2019-01-07T00:00:00"/>
    <d v="2023-06-30T00:00:00"/>
    <m/>
    <s v="Infrastructure Project"/>
    <n v="0"/>
    <n v="44400000000"/>
    <n v="0"/>
    <m/>
    <m/>
    <n v="0"/>
    <n v="0"/>
    <n v="0"/>
    <m/>
    <m/>
    <m/>
    <n v="44400000000"/>
    <m/>
    <m/>
    <m/>
    <m/>
  </r>
  <r>
    <s v="MYC Template Uganda Workshop for UNRA Rev03.xlsx"/>
    <x v="81"/>
    <s v="1543 Kihihi-Butogota-Bohoma Road"/>
    <x v="10"/>
    <x v="10"/>
    <x v="10"/>
    <x v="1"/>
    <d v="2019-01-07T00:00:00"/>
    <d v="2023-06-30T00:00:00"/>
    <m/>
    <s v="Infrastructure Project"/>
    <n v="0"/>
    <n v="0"/>
    <n v="0"/>
    <m/>
    <m/>
    <n v="0"/>
    <n v="23200000000"/>
    <n v="0"/>
    <m/>
    <m/>
    <m/>
    <n v="23200000000"/>
    <m/>
    <m/>
    <m/>
    <m/>
  </r>
  <r>
    <s v="MYC Template Uganda Workshop for UNRA Rev03.xlsx"/>
    <x v="82"/>
    <s v="1544 Kisoro-Lake Bunyonyi Road"/>
    <x v="10"/>
    <x v="10"/>
    <x v="10"/>
    <x v="0"/>
    <d v="2019-01-07T00:00:00"/>
    <d v="2023-06-30T00:00:00"/>
    <m/>
    <s v="Infrastructure Project"/>
    <n v="0"/>
    <n v="4800000000"/>
    <n v="0"/>
    <m/>
    <m/>
    <n v="0"/>
    <m/>
    <m/>
    <m/>
    <m/>
    <m/>
    <n v="4800000000"/>
    <m/>
    <m/>
    <m/>
    <m/>
  </r>
  <r>
    <s v="MYC Template Uganda Workshop for UNRA Rev03.xlsx"/>
    <x v="82"/>
    <s v="1544 Kisoro-Lake Bunyonyi Road"/>
    <x v="10"/>
    <x v="10"/>
    <x v="10"/>
    <x v="1"/>
    <d v="2019-01-07T00:00:00"/>
    <d v="2023-06-30T00:00:00"/>
    <m/>
    <s v="Infrastructure Project"/>
    <n v="0"/>
    <n v="3838050000"/>
    <n v="0"/>
    <m/>
    <n v="11000000000"/>
    <n v="11000000000"/>
    <n v="17000000000"/>
    <m/>
    <m/>
    <m/>
    <m/>
    <n v="31838050000"/>
    <m/>
    <m/>
    <m/>
    <m/>
  </r>
  <r>
    <s v="MYC Template Uganda Workshop for UNRA Rev03.xlsx"/>
    <x v="83"/>
    <s v="1545 Kisoro-Mgahinga National Park Headquarters Road"/>
    <x v="10"/>
    <x v="10"/>
    <x v="10"/>
    <x v="0"/>
    <d v="2019-01-07T00:00:00"/>
    <d v="2023-06-30T00:00:00"/>
    <m/>
    <s v="Infrastructure Project"/>
    <n v="0"/>
    <n v="4800000000"/>
    <n v="0"/>
    <m/>
    <m/>
    <n v="0"/>
    <m/>
    <m/>
    <m/>
    <m/>
    <m/>
    <n v="4800000000"/>
    <m/>
    <m/>
    <m/>
    <m/>
  </r>
  <r>
    <s v="MYC Template Uganda Workshop for UNRA Rev03.xlsx"/>
    <x v="83"/>
    <s v="1545 Kisoro-Mgahinga National Park Headquarters Road"/>
    <x v="10"/>
    <x v="10"/>
    <x v="10"/>
    <x v="1"/>
    <d v="2019-01-07T00:00:00"/>
    <d v="2023-06-30T00:00:00"/>
    <m/>
    <s v="Infrastructure Project"/>
    <n v="0"/>
    <n v="0"/>
    <n v="0"/>
    <m/>
    <n v="10000000000"/>
    <n v="10000000000"/>
    <n v="16000000000"/>
    <m/>
    <m/>
    <m/>
    <m/>
    <n v="26000000000"/>
    <m/>
    <m/>
    <m/>
    <m/>
  </r>
  <r>
    <s v="MYC Template Uganda Workshop for UNRA Rev03.xlsx"/>
    <x v="84"/>
    <s v="1546 Kisoro-Nkuringo-Rubugiri-Muko Road"/>
    <x v="10"/>
    <x v="10"/>
    <x v="10"/>
    <x v="0"/>
    <d v="2019-01-07T00:00:00"/>
    <d v="2023-06-30T00:00:00"/>
    <m/>
    <s v="Infrastructure Project"/>
    <n v="0"/>
    <n v="3000000000"/>
    <n v="0"/>
    <m/>
    <n v="7980000000"/>
    <n v="7980000000"/>
    <n v="11970000000"/>
    <m/>
    <m/>
    <m/>
    <m/>
    <n v="22950000000"/>
    <m/>
    <m/>
    <m/>
    <m/>
  </r>
  <r>
    <s v="MYC Template Uganda Workshop for UNRA Rev03.xlsx"/>
    <x v="84"/>
    <s v="1546 Kisoro-Nkuringo-Rubugiri-Muko Road"/>
    <x v="10"/>
    <x v="10"/>
    <x v="10"/>
    <x v="1"/>
    <d v="2019-01-07T00:00:00"/>
    <d v="2023-06-30T00:00:00"/>
    <m/>
    <s v="Infrastructure Project"/>
    <n v="0"/>
    <n v="0"/>
    <n v="0"/>
    <m/>
    <n v="45220000000"/>
    <n v="45220000000"/>
    <n v="67830000000"/>
    <m/>
    <m/>
    <m/>
    <m/>
    <n v="113050000000"/>
    <m/>
    <m/>
    <m/>
    <m/>
  </r>
  <r>
    <s v="MYC Template Uganda Workshop for UNRA Rev03.xlsx"/>
    <x v="85"/>
    <s v="1550 Namunsi-Sironko/Muyembe-Kapchorwa Section I"/>
    <x v="10"/>
    <x v="10"/>
    <x v="10"/>
    <x v="0"/>
    <d v="2019-01-07T00:00:00"/>
    <d v="2022-06-30T00:00:00"/>
    <s v="Under Implementation"/>
    <s v="Infrastructure Project"/>
    <n v="10953408276"/>
    <n v="16200000000"/>
    <n v="0"/>
    <m/>
    <m/>
    <n v="0"/>
    <m/>
    <n v="0"/>
    <n v="0"/>
    <m/>
    <m/>
    <n v="27153408276"/>
    <m/>
    <m/>
    <m/>
    <m/>
  </r>
  <r>
    <s v="MYC Template Uganda Workshop for UNRA Rev03.xlsx"/>
    <x v="86"/>
    <s v="1552 Hoima-Katunguru Road"/>
    <x v="10"/>
    <x v="10"/>
    <x v="10"/>
    <x v="0"/>
    <d v="2019-01-07T00:00:00"/>
    <d v="2022-06-30T00:00:00"/>
    <s v="Under Implementation"/>
    <s v="Infrastructure Project"/>
    <n v="90811326532"/>
    <n v="75500000000"/>
    <n v="0"/>
    <m/>
    <n v="47000000000"/>
    <n v="47000000000"/>
    <n v="0"/>
    <n v="0"/>
    <n v="0"/>
    <m/>
    <m/>
    <n v="213311326532"/>
    <m/>
    <m/>
    <m/>
    <m/>
  </r>
  <r>
    <s v="MYC Template Uganda Workshop for UNRA Rev03.xlsx"/>
    <x v="87"/>
    <s v="1554 Nakalama-Tirinyi-Mbale Road"/>
    <x v="10"/>
    <x v="10"/>
    <x v="10"/>
    <x v="0"/>
    <d v="2019-01-07T00:00:00"/>
    <d v="2022-06-30T00:00:00"/>
    <s v="Under Implementation"/>
    <s v="Infrastructure Project"/>
    <n v="127881194869"/>
    <n v="47050000000"/>
    <n v="0"/>
    <m/>
    <n v="22500000000"/>
    <n v="22500000000"/>
    <n v="0"/>
    <n v="0"/>
    <n v="0"/>
    <m/>
    <m/>
    <n v="197431194869"/>
    <m/>
    <m/>
    <m/>
    <m/>
  </r>
  <r>
    <s v="MYC Template Uganda Workshop for UNRA Rev03.xlsx"/>
    <x v="88"/>
    <s v="1656 Construction of Muko - Katuna Road (66.6 km)"/>
    <x v="10"/>
    <x v="10"/>
    <x v="10"/>
    <x v="0"/>
    <d v="2020-07-01T00:00:00"/>
    <d v="2025-06-30T00:00:00"/>
    <m/>
    <s v="Infrastructure Project"/>
    <n v="0"/>
    <m/>
    <n v="0"/>
    <m/>
    <m/>
    <n v="0"/>
    <n v="0"/>
    <n v="0"/>
    <n v="0"/>
    <m/>
    <m/>
    <n v="0"/>
    <m/>
    <m/>
    <m/>
    <m/>
  </r>
  <r>
    <s v="MYC Template Uganda Workshop for UNRA Rev03.xlsx"/>
    <x v="88"/>
    <s v="1656 Construction of Muko - Katuna Road (66.6 km)"/>
    <x v="10"/>
    <x v="10"/>
    <x v="10"/>
    <x v="1"/>
    <d v="2020-07-01T00:00:00"/>
    <d v="2025-06-30T00:00:00"/>
    <m/>
    <s v="Infrastructure Project"/>
    <n v="0"/>
    <m/>
    <n v="0"/>
    <m/>
    <m/>
    <m/>
    <m/>
    <m/>
    <m/>
    <m/>
    <m/>
    <n v="0"/>
    <m/>
    <m/>
    <m/>
    <m/>
  </r>
  <r>
    <s v="MYC Template Uganda Workshop for UNRA Rev03.xlsx"/>
    <x v="89"/>
    <s v="1657 Moyo-Yumbe-Koboko road"/>
    <x v="10"/>
    <x v="10"/>
    <x v="10"/>
    <x v="0"/>
    <d v="2020-07-01T00:00:00"/>
    <d v="2025-06-30T00:00:00"/>
    <m/>
    <s v="Infrastructure Project"/>
    <n v="0"/>
    <n v="100000000"/>
    <n v="0"/>
    <m/>
    <m/>
    <n v="0"/>
    <n v="0"/>
    <n v="0"/>
    <n v="0"/>
    <m/>
    <m/>
    <n v="100000000"/>
    <m/>
    <m/>
    <m/>
    <m/>
  </r>
  <r>
    <s v="MYC Template Uganda Workshop for UNRA Rev03.xlsx"/>
    <x v="89"/>
    <s v="1657 Moyo-Yumbe-Koboko road"/>
    <x v="10"/>
    <x v="10"/>
    <x v="10"/>
    <x v="1"/>
    <d v="2020-07-01T00:00:00"/>
    <d v="2025-06-30T00:00:00"/>
    <m/>
    <s v="Infrastructure Project"/>
    <n v="0"/>
    <n v="1919025000"/>
    <n v="0"/>
    <m/>
    <n v="78000000000"/>
    <n v="78000000000"/>
    <n v="117000000000"/>
    <n v="156000000000"/>
    <n v="39000000000"/>
    <m/>
    <m/>
    <n v="391919025000"/>
    <m/>
    <m/>
    <m/>
    <m/>
  </r>
  <r>
    <s v="MYC Template Uganda Workshop for UNRA Rev03.xlsx"/>
    <x v="90"/>
    <s v="1692 Rehabilitation of Masaka Town Roads (7.3 KM)"/>
    <x v="10"/>
    <x v="10"/>
    <x v="10"/>
    <x v="0"/>
    <d v="2020-07-01T00:00:00"/>
    <d v="2025-06-30T00:00:00"/>
    <s v="Under Implementation"/>
    <s v="Infrastructure Project"/>
    <n v="0"/>
    <n v="20550000000"/>
    <n v="0"/>
    <m/>
    <n v="16000000000"/>
    <n v="16000000000"/>
    <n v="0"/>
    <n v="0"/>
    <n v="0"/>
    <m/>
    <m/>
    <n v="36550000000"/>
    <m/>
    <m/>
    <m/>
    <m/>
  </r>
  <r>
    <s v="MYC Template Uganda Workshop for UNRA Rev03.xlsx"/>
    <x v="91"/>
    <s v="1693 Rehabilitation of Kampala-Jinja Highway(72 KM)"/>
    <x v="10"/>
    <x v="10"/>
    <x v="10"/>
    <x v="0"/>
    <d v="2020-07-01T00:00:00"/>
    <d v="2025-06-30T00:00:00"/>
    <m/>
    <s v="Infrastructure Project"/>
    <n v="6835173463"/>
    <n v="10000000000"/>
    <n v="0"/>
    <m/>
    <m/>
    <n v="0"/>
    <n v="0"/>
    <n v="0"/>
    <n v="0"/>
    <m/>
    <m/>
    <n v="16835173463"/>
    <m/>
    <m/>
    <m/>
    <m/>
  </r>
  <r>
    <s v="MYC Template Uganda Workshop for UNRA Rev03.xlsx"/>
    <x v="92"/>
    <s v="1694 Rehabilitation  of Mityana-Mubende Road(100KM)"/>
    <x v="10"/>
    <x v="10"/>
    <x v="10"/>
    <x v="0"/>
    <d v="2020-07-01T00:00:00"/>
    <d v="2025-06-30T00:00:00"/>
    <s v="Under Implementation"/>
    <s v="Infrastructure Project"/>
    <n v="0"/>
    <n v="62400000000"/>
    <n v="0"/>
    <m/>
    <n v="101000000000"/>
    <n v="101000000000"/>
    <n v="101000000000"/>
    <n v="101000000000"/>
    <n v="40000000000"/>
    <m/>
    <m/>
    <n v="405400000000"/>
    <m/>
    <m/>
    <m/>
    <m/>
  </r>
  <r>
    <s v="MYC Template Uganda Workshop for UNRA Rev03.xlsx"/>
    <x v="93"/>
    <s v="1695 Rehabilitation of Packwach-Nebbi Section 2 Road(33KM)"/>
    <x v="10"/>
    <x v="10"/>
    <x v="10"/>
    <x v="0"/>
    <d v="2020-07-01T00:00:00"/>
    <d v="2025-06-30T00:00:00"/>
    <m/>
    <s v="Infrastructure Project"/>
    <n v="0"/>
    <n v="22050000000"/>
    <n v="0"/>
    <m/>
    <m/>
    <n v="0"/>
    <n v="0"/>
    <n v="0"/>
    <n v="0"/>
    <m/>
    <m/>
    <n v="22050000000"/>
    <m/>
    <m/>
    <m/>
    <m/>
  </r>
  <r>
    <s v="MYC Template Uganda Workshop MOWT 28.01.2021.xlsx"/>
    <x v="94"/>
    <s v="1284 Development of new Kampala Port in Bukasa"/>
    <x v="11"/>
    <x v="11"/>
    <x v="11"/>
    <x v="0"/>
    <d v="2013-01-07T00:00:00"/>
    <d v="2022-06-30T00:00:00"/>
    <s v="Under Implementation"/>
    <s v="Infrastructure Project"/>
    <n v="47970000000"/>
    <n v="20400000000"/>
    <m/>
    <m/>
    <n v="5310000000"/>
    <n v="5310000000"/>
    <m/>
    <m/>
    <m/>
    <m/>
    <m/>
    <n v="73680000000"/>
    <n v="140800000000"/>
    <m/>
    <m/>
    <s v="Y"/>
  </r>
  <r>
    <s v="MYC Template Uganda Workshop MOWT 28.01.2021.xlsx"/>
    <x v="94"/>
    <s v="1284 Development of new Kampala Port in Bukasa"/>
    <x v="11"/>
    <x v="11"/>
    <x v="11"/>
    <x v="1"/>
    <d v="2013-01-07T00:00:00"/>
    <d v="2022-06-30T00:00:00"/>
    <s v="Under Implementation"/>
    <s v="Infrastructure Project"/>
    <n v="37720000000"/>
    <n v="92040000000"/>
    <m/>
    <m/>
    <n v="1003000000"/>
    <n v="1003000000"/>
    <m/>
    <m/>
    <m/>
    <m/>
    <m/>
    <n v="130763000000"/>
    <n v="178000000000"/>
    <m/>
    <m/>
    <s v="N"/>
  </r>
  <r>
    <s v="MYC Template Uganda Workshop MOWT 28.01.2021.xlsx"/>
    <x v="95"/>
    <s v="1373 Entebbe Airport Rehabilitation Phase 1"/>
    <x v="11"/>
    <x v="11"/>
    <x v="11"/>
    <x v="0"/>
    <d v="2013-01-07T00:00:00"/>
    <d v="2022-05-30T00:00:00"/>
    <s v="Under Implementation"/>
    <s v="Infrastructure Project"/>
    <n v="0"/>
    <n v="0"/>
    <m/>
    <m/>
    <n v="0"/>
    <n v="0"/>
    <m/>
    <m/>
    <m/>
    <m/>
    <m/>
    <n v="0"/>
    <m/>
    <m/>
    <m/>
    <m/>
  </r>
  <r>
    <s v="MYC Template Uganda Workshop MOWT 28.01.2021.xlsx"/>
    <x v="95"/>
    <s v="1373 Entebbe Airport Rehabilitation Phase 1"/>
    <x v="11"/>
    <x v="11"/>
    <x v="11"/>
    <x v="1"/>
    <d v="2013-01-07T00:00:00"/>
    <d v="2022-05-30T00:00:00"/>
    <s v="Under Implementation"/>
    <s v="Infrastructure Project"/>
    <n v="493660000000"/>
    <n v="149680000000"/>
    <m/>
    <m/>
    <n v="117943000000"/>
    <n v="117943000000"/>
    <n v="0"/>
    <n v="0"/>
    <n v="0"/>
    <m/>
    <m/>
    <n v="761283000000"/>
    <n v="750000000000"/>
    <s v="An exchange rate of 1 USD = 3750 UGX"/>
    <m/>
    <m/>
  </r>
  <r>
    <s v="MYC Template Uganda Workshop MOWT 28.01.2021.xlsx"/>
    <x v="96"/>
    <s v="1489 Development of Kabaale Airport"/>
    <x v="11"/>
    <x v="11"/>
    <x v="11"/>
    <x v="0"/>
    <d v="2017-01-07T00:00:00"/>
    <d v="2023-06-30T00:00:00"/>
    <s v="Under Implementation"/>
    <s v="Infrastructure Project"/>
    <n v="18370000000"/>
    <n v="3000000000"/>
    <m/>
    <m/>
    <n v="3000000000"/>
    <n v="3000000000"/>
    <n v="6000000000"/>
    <n v="0"/>
    <n v="0"/>
    <m/>
    <m/>
    <n v="30370000000"/>
    <n v="22188185376"/>
    <s v="Varience is attributed to project extension and incidental designs that had not been included in the project"/>
    <m/>
    <m/>
  </r>
  <r>
    <s v="MYC Template Uganda Workshop MOWT 28.01.2021.xlsx"/>
    <x v="96"/>
    <s v="1489 Development of Kabaale Airport"/>
    <x v="11"/>
    <x v="11"/>
    <x v="11"/>
    <x v="1"/>
    <d v="2017-01-07T00:00:00"/>
    <d v="2023-06-30T00:00:00"/>
    <s v="Under Implementation"/>
    <s v="Infrastructure Project"/>
    <n v="268780000000"/>
    <n v="292840000000"/>
    <m/>
    <m/>
    <n v="58972000000"/>
    <n v="58972000000"/>
    <n v="465000000000"/>
    <n v="0"/>
    <n v="0"/>
    <m/>
    <m/>
    <n v="1085592000000"/>
    <n v="1220401037960"/>
    <s v="An exchange rate of 1 Euro = 4,500 UGX"/>
    <m/>
    <m/>
  </r>
  <r>
    <s v="MYC Template Uganda Workshop MOWT 28.01.2021.xlsx"/>
    <x v="97"/>
    <s v="1456 Multinational Lake Victoria Maritime Comm. &amp;Transport Project"/>
    <x v="11"/>
    <x v="11"/>
    <x v="11"/>
    <x v="0"/>
    <d v="2017-01-07T00:00:00"/>
    <m/>
    <s v="Under Implementation"/>
    <s v="Infrastructure Project"/>
    <n v="1090000000"/>
    <n v="1000000000"/>
    <m/>
    <m/>
    <n v="2000000000"/>
    <n v="2000000000"/>
    <n v="5000000000"/>
    <n v="0"/>
    <n v="0"/>
    <m/>
    <m/>
    <n v="9090000000"/>
    <n v="8140000000"/>
    <m/>
    <m/>
    <m/>
  </r>
  <r>
    <s v="MYC Template Uganda Workshop MOWT 28.01.2021.xlsx"/>
    <x v="97"/>
    <s v="1456 Multinational Lake Victoria Maritime Comm. &amp;Transport Project"/>
    <x v="11"/>
    <x v="11"/>
    <x v="11"/>
    <x v="1"/>
    <d v="2017-01-07T00:00:00"/>
    <m/>
    <s v="Under Implementation"/>
    <s v="Infrastructure Project"/>
    <n v="1820000000"/>
    <n v="25190000000"/>
    <m/>
    <m/>
    <n v="5504000000"/>
    <n v="5504000000"/>
    <n v="0"/>
    <n v="0"/>
    <n v="0"/>
    <m/>
    <m/>
    <n v="32514000000"/>
    <n v="53280000000"/>
    <s v="An exchange rate of 1 USD = 3700 UGX"/>
    <m/>
    <m/>
  </r>
  <r>
    <s v="MYC Template Uganda Workshop MOWT 28.01.2021.xlsx"/>
    <x v="98"/>
    <s v="1097 New Standard Gauge Railway Line"/>
    <x v="11"/>
    <x v="11"/>
    <x v="11"/>
    <x v="0"/>
    <d v="2013-01-07T00:00:00"/>
    <d v="2022-06-30T00:00:00"/>
    <s v="Under Implementation"/>
    <s v="Infrastructure Project"/>
    <n v="273950000000"/>
    <n v="20000000000"/>
    <m/>
    <m/>
    <n v="19000000000"/>
    <n v="19000000000"/>
    <m/>
    <m/>
    <m/>
    <m/>
    <m/>
    <n v="312950000000"/>
    <n v="9200000000000"/>
    <s v="Phase II of the project to be developed for construction of the SGR"/>
    <m/>
    <m/>
  </r>
  <r>
    <s v="MYC Template Uganda Workshop MOWT 28.01.2021.xlsx"/>
    <x v="98"/>
    <s v="1097 New Standard Gauge Railway Line"/>
    <x v="11"/>
    <x v="11"/>
    <x v="11"/>
    <x v="1"/>
    <d v="2013-01-07T00:00:00"/>
    <d v="2022-06-30T00:00:00"/>
    <s v="Under Implementation"/>
    <s v="Infrastructure Project"/>
    <n v="0"/>
    <n v="0"/>
    <m/>
    <m/>
    <n v="0"/>
    <n v="0"/>
    <m/>
    <m/>
    <m/>
    <m/>
    <m/>
    <n v="0"/>
    <m/>
    <m/>
    <m/>
    <m/>
  </r>
  <r>
    <s v="MYC Template Uganda Workshop MOWT 28.01.2021.xlsx"/>
    <x v="99"/>
    <s v="1096 Support to Computerised Driving Permits"/>
    <x v="11"/>
    <x v="11"/>
    <x v="11"/>
    <x v="0"/>
    <d v="2013-01-07T00:00:00"/>
    <m/>
    <s v="Under Implementation"/>
    <s v="Infrastructure Project"/>
    <n v="42980000000"/>
    <n v="30200000000"/>
    <m/>
    <m/>
    <n v="29200000000"/>
    <n v="29200000000"/>
    <n v="0"/>
    <n v="0"/>
    <n v="0"/>
    <m/>
    <m/>
    <n v="102380000000"/>
    <n v="119570000000"/>
    <m/>
    <m/>
    <m/>
  </r>
  <r>
    <s v="MYC Template Uganda Workshop MOWT 28.01.2021.xlsx"/>
    <x v="100"/>
    <e v="#N/A"/>
    <x v="11"/>
    <x v="11"/>
    <x v="11"/>
    <x v="0"/>
    <d v="2017-01-07T00:00:00"/>
    <d v="2022-06-30T00:00:00"/>
    <s v="Under Implementation"/>
    <s v="Infrastructure Project"/>
    <n v="340000000"/>
    <n v="500000000"/>
    <m/>
    <m/>
    <n v="500000000"/>
    <n v="500000000"/>
    <n v="0"/>
    <n v="0"/>
    <n v="0"/>
    <m/>
    <m/>
    <n v="1340000000"/>
    <n v="1831210000000"/>
    <m/>
    <m/>
    <m/>
  </r>
  <r>
    <s v="MYC Template Uganda Workshop MOWT 28.01.2021.xlsx"/>
    <x v="101"/>
    <s v="1512 Uganda National Airline Project"/>
    <x v="11"/>
    <x v="11"/>
    <x v="11"/>
    <x v="0"/>
    <d v="2018-01-07T00:00:00"/>
    <m/>
    <s v="Under Implementation"/>
    <s v="Infrastructure Project"/>
    <n v="935040000000"/>
    <n v="543230000000"/>
    <m/>
    <m/>
    <n v="142737000000"/>
    <n v="142737000000"/>
    <n v="19000000000"/>
    <n v="0"/>
    <n v="0"/>
    <m/>
    <m/>
    <n v="1640007000000"/>
    <n v="1668220000000"/>
    <s v="An exchange rate of 1 USD = 3900 UGX"/>
    <m/>
    <m/>
  </r>
  <r>
    <s v="MYC Template Uganda Workshop MOWT 28.01.2021.xlsx"/>
    <x v="102"/>
    <s v="1421 Development of the Construction Industry"/>
    <x v="11"/>
    <x v="11"/>
    <x v="11"/>
    <x v="0"/>
    <d v="2016-07-01T00:00:00"/>
    <m/>
    <s v="Under Implementation"/>
    <s v="Infrastructure Project"/>
    <n v="12970000000"/>
    <n v="10140000000"/>
    <m/>
    <m/>
    <n v="10740000000"/>
    <n v="10740000000"/>
    <n v="12000000000"/>
    <n v="0"/>
    <n v="0"/>
    <m/>
    <m/>
    <n v="45850000000"/>
    <n v="63000000000"/>
    <m/>
    <m/>
    <m/>
  </r>
  <r>
    <s v="MYC Template Uganda Workshop MOWT 28.01.2021.xlsx"/>
    <x v="103"/>
    <s v="1558 Rural Bridges Infrastructure Development"/>
    <x v="11"/>
    <x v="11"/>
    <x v="11"/>
    <x v="0"/>
    <d v="2019-01-07T00:00:00"/>
    <m/>
    <s v="Under Implementation"/>
    <s v="Infrastructure Project"/>
    <n v="15410000000"/>
    <n v="31900000000"/>
    <m/>
    <m/>
    <n v="21300000000"/>
    <n v="21300000000"/>
    <n v="80000000000"/>
    <n v="100000000000"/>
    <n v="0"/>
    <m/>
    <m/>
    <n v="248610000000"/>
    <n v="300000000000"/>
    <m/>
    <m/>
    <m/>
  </r>
  <r>
    <s v="MYC Template Uganda Workshop MOWT 28.01.2021.xlsx"/>
    <x v="104"/>
    <s v="1563 URC Capacity Building Project "/>
    <x v="11"/>
    <x v="11"/>
    <x v="11"/>
    <x v="0"/>
    <d v="2020-01-07T00:00:00"/>
    <d v="2026-06-30T00:00:00"/>
    <s v="Under Implementation"/>
    <s v="Infrastructure Project"/>
    <n v="0"/>
    <n v="2000000000"/>
    <m/>
    <m/>
    <n v="2000000000"/>
    <n v="2000000000"/>
    <n v="10000000000"/>
    <n v="6000000000"/>
    <n v="8000000000"/>
    <n v="4000000000"/>
    <m/>
    <n v="32000000000"/>
    <n v="77760000000"/>
    <m/>
    <m/>
    <m/>
  </r>
  <r>
    <s v="MYC Template Uganda Workshop MOWT 28.01.2021.xlsx"/>
    <x v="104"/>
    <s v="1563 URC Capacity Building Project "/>
    <x v="11"/>
    <x v="11"/>
    <x v="11"/>
    <x v="1"/>
    <d v="2020-01-07T00:00:00"/>
    <d v="2026-06-30T00:00:00"/>
    <s v="Under Implementation"/>
    <s v="Infrastructure Project"/>
    <n v="0"/>
    <n v="49890000000"/>
    <m/>
    <m/>
    <n v="40494000000"/>
    <m/>
    <n v="265950000000"/>
    <n v="271006672860"/>
    <n v="391504940640"/>
    <n v="264918343166"/>
    <m/>
    <n v="1243269956666"/>
    <n v="1407330000000"/>
    <s v="An exchange rate of 1 Euro = 4,500 UGX"/>
    <m/>
    <m/>
  </r>
  <r>
    <s v="MYC Template Uganda Workshop MOWT 28.01.2021.xlsx"/>
    <x v="105"/>
    <s v="1564 Community Roads Improvement Project"/>
    <x v="11"/>
    <x v="11"/>
    <x v="11"/>
    <x v="0"/>
    <d v="2021-07-01T00:00:00"/>
    <d v="2025-06-30T00:00:00"/>
    <s v="Under Implementation"/>
    <s v="Infrastructure Project"/>
    <m/>
    <n v="85770000000"/>
    <n v="0"/>
    <m/>
    <n v="50000000000"/>
    <n v="50000000000"/>
    <n v="98656000000"/>
    <n v="78328000000"/>
    <n v="78328000000"/>
    <m/>
    <m/>
    <n v="391082000000"/>
    <n v="391600000000"/>
    <m/>
    <m/>
    <m/>
  </r>
  <r>
    <s v="MYC Template Uganda Workshop MOWT 28.01.2021.xlsx"/>
    <x v="106"/>
    <s v="1617 Retooling of Ministry of Works and Transport"/>
    <x v="11"/>
    <x v="11"/>
    <x v="11"/>
    <x v="0"/>
    <d v="2020-01-07T00:00:00"/>
    <m/>
    <s v="Under Implementation"/>
    <s v="Retooling Project"/>
    <n v="0"/>
    <n v="6160000000"/>
    <m/>
    <m/>
    <n v="6560000000"/>
    <n v="6560000000"/>
    <n v="40000000000"/>
    <n v="38000000000"/>
    <n v="14250000000"/>
    <m/>
    <m/>
    <n v="104970000000"/>
    <n v="105000000000"/>
    <m/>
    <m/>
    <m/>
  </r>
  <r>
    <s v="MYC Template Uganda Workshop MOWT 28.01.2021.xlsx"/>
    <x v="107"/>
    <s v="1659 Rehabilitation of the Tororo – Gulu railway line"/>
    <x v="11"/>
    <x v="11"/>
    <x v="11"/>
    <x v="0"/>
    <d v="2020-01-07T00:00:00"/>
    <m/>
    <s v="Under Implementation"/>
    <s v="Infrastructure Project"/>
    <n v="0"/>
    <n v="2600000000"/>
    <m/>
    <m/>
    <n v="6600000000"/>
    <n v="6600000000"/>
    <n v="34160000000"/>
    <n v="29000000000"/>
    <n v="25155000000"/>
    <m/>
    <m/>
    <n v="97515000000"/>
    <n v="97515000000"/>
    <m/>
    <m/>
    <m/>
  </r>
  <r>
    <s v="MYC Template Uganda Workshop MOWT 28.01.2021.xlsx"/>
    <x v="107"/>
    <s v="1659 Rehabilitation of the Tororo – Gulu railway line"/>
    <x v="11"/>
    <x v="11"/>
    <x v="11"/>
    <x v="1"/>
    <d v="2020-01-07T00:00:00"/>
    <m/>
    <s v="Under Implementation"/>
    <s v="Infrastructure Project"/>
    <n v="0"/>
    <n v="16310000000"/>
    <m/>
    <m/>
    <n v="21584000000"/>
    <n v="21584000000"/>
    <n v="20696700000"/>
    <n v="16932377500"/>
    <n v="12811922500"/>
    <m/>
    <m/>
    <n v="88335000000"/>
    <n v="88335000000"/>
    <s v="An exchange rate of 1 Euro = 4,500 UGX"/>
    <m/>
    <m/>
  </r>
  <r>
    <s v="MYC Template Uganda Workshop MOWT 28.01.2021.xlsx"/>
    <x v="108"/>
    <s v="1703 Rehabilitation of District Roads Project"/>
    <x v="11"/>
    <x v="11"/>
    <x v="11"/>
    <x v="0"/>
    <d v="2021-01-07T00:00:00"/>
    <m/>
    <s v="Under Procurement"/>
    <s v="Infrastructure Project"/>
    <n v="0"/>
    <n v="0"/>
    <n v="0"/>
    <m/>
    <n v="80920000000"/>
    <n v="80920000000"/>
    <n v="147340000000"/>
    <n v="114990000000"/>
    <n v="114990000000"/>
    <n v="114120000000"/>
    <m/>
    <n v="572360000000"/>
    <n v="572360000000"/>
    <s v="Annual estimates obtained from the feasibility study reports for the project"/>
    <m/>
    <m/>
  </r>
  <r>
    <s v="MYC Template Uganda Workshop MOWT 28.01.2021.xlsx"/>
    <x v="109"/>
    <s v="1705 Rehabilitaion and Upgrading of Urban Roads Project"/>
    <x v="11"/>
    <x v="11"/>
    <x v="11"/>
    <x v="0"/>
    <d v="2021-01-07T00:00:00"/>
    <m/>
    <s v="Under Procurement"/>
    <s v="Infrastructure Project"/>
    <n v="0"/>
    <n v="0"/>
    <n v="0"/>
    <m/>
    <n v="14100000000"/>
    <n v="14100000000"/>
    <n v="87443936312"/>
    <n v="50771968156"/>
    <n v="50771968156"/>
    <n v="50771968156"/>
    <m/>
    <n v="253859840781"/>
    <n v="253859840781"/>
    <s v="Annual estimates obtained from the feasibility study reports for the project"/>
    <m/>
    <m/>
  </r>
  <r>
    <s v="MYC Template Uganda Workshop UNBS.xlsx"/>
    <x v="110"/>
    <s v="1675 Retooling of Uganda National Bureau of Standards"/>
    <x v="12"/>
    <x v="12"/>
    <x v="12"/>
    <x v="0"/>
    <d v="2020-07-01T00:00:00"/>
    <d v="2025-06-30T00:00:00"/>
    <s v="Under Implementation"/>
    <s v="Retooling Project"/>
    <n v="0"/>
    <n v="11652915228"/>
    <n v="0"/>
    <n v="0"/>
    <n v="11652915228"/>
    <n v="11652915228"/>
    <n v="11652915228"/>
    <n v="11652915228"/>
    <n v="11652915228"/>
    <n v="0"/>
    <n v="0"/>
    <n v="58264576140"/>
    <m/>
    <s v="Support to UNBS before was being spent on Construction, furniture, ICT, motor vehicles and specialised equipment. However, by the time of the project exiting from PIP, the institution had arrears for construct of laboratories at headquarters.  The institution was guided to capture the arrears under the retooling component which was given a new code. Having done done those adjustments, the MTEF remained at 11,652,915,228 UGX"/>
    <m/>
    <s v="Y"/>
  </r>
  <r>
    <s v="MYC Template UTB (3).xlsx"/>
    <x v="111"/>
    <s v="1676 Retooling of Uganda Tourism Board"/>
    <x v="13"/>
    <x v="13"/>
    <x v="13"/>
    <x v="0"/>
    <d v="2020-07-01T00:00:00"/>
    <d v="2025-06-30T00:00:00"/>
    <s v="Under Implementation"/>
    <s v="Retooling Project"/>
    <m/>
    <n v="155000000"/>
    <n v="60000000"/>
    <n v="0"/>
    <n v="4091000000"/>
    <n v="4744000000"/>
    <n v="4192000000"/>
    <n v="2551000000"/>
    <n v="2873000000"/>
    <n v="0"/>
    <n v="0"/>
    <n v="14515000000"/>
    <m/>
    <s v="The stated arrears of UGX 0.060 are to go towards the completion of the purchase of transport equipment that was ongoing before the cuts against those lines were made/communicated by MoFPED for FY 2019/20."/>
    <m/>
    <s v="Y"/>
  </r>
  <r>
    <s v="MYC Template UTB (3).xlsx"/>
    <x v="47"/>
    <s v="1700 Mt. Rwenzori Tourism Infrastructure Development Project Phase II"/>
    <x v="6"/>
    <x v="6"/>
    <x v="6"/>
    <x v="2"/>
    <m/>
    <m/>
    <m/>
    <m/>
    <m/>
    <m/>
    <m/>
    <m/>
    <n v="4"/>
    <n v="4"/>
    <m/>
    <m/>
    <m/>
    <n v="0"/>
    <n v="0"/>
    <n v="4"/>
    <m/>
    <m/>
    <m/>
    <m/>
  </r>
  <r>
    <s v="MYC Template UTB (3).xlsx"/>
    <x v="48"/>
    <s v="1701 Development of Source of the Nile Project (Phase II)"/>
    <x v="6"/>
    <x v="6"/>
    <x v="6"/>
    <x v="2"/>
    <m/>
    <m/>
    <m/>
    <m/>
    <m/>
    <m/>
    <m/>
    <m/>
    <n v="4"/>
    <n v="4"/>
    <n v="0"/>
    <n v="0"/>
    <n v="0"/>
    <n v="0"/>
    <n v="0"/>
    <n v="4"/>
    <m/>
    <m/>
    <m/>
    <m/>
  </r>
  <r>
    <s v="MYCS Template for Vote 013 MOES 1_02_2021 bbb.xlsx"/>
    <x v="112"/>
    <s v="1241 Development of Uganda Petroleum Institute Kigumba"/>
    <x v="14"/>
    <x v="14"/>
    <x v="14"/>
    <x v="0"/>
    <d v="2015-01-07T00:00:00"/>
    <d v="2022-06-30T00:00:00"/>
    <s v="Under Implementation"/>
    <s v="Infrastructure Project"/>
    <n v="38178000000"/>
    <n v="5000000000"/>
    <n v="4060000000"/>
    <m/>
    <n v="10000000000"/>
    <n v="14060000000"/>
    <n v="0"/>
    <n v="0"/>
    <n v="0"/>
    <n v="0"/>
    <n v="0"/>
    <n v="57238000000"/>
    <m/>
    <s v="The institute has an on-going contract worth Ushs.14.38bn for construction of a male hostel, a female hostel, a classroom block, a health center and library signed in FY 2018/19. The project has faced a funding shortfall during implementation of Ushs.3.41bn in FY 2019/20 and Ushs. 0.65bn in Q1 FY 2020/2"/>
    <m/>
    <s v="Y"/>
  </r>
  <r>
    <s v="MYCS Template for Vote 013 MOES 1_02_2021 bbb.xlsx"/>
    <x v="113"/>
    <s v="1308 Development and Improvement of Special Needs Education (SNE)"/>
    <x v="14"/>
    <x v="14"/>
    <x v="14"/>
    <x v="0"/>
    <d v="2014-01-07T00:00:00"/>
    <d v="2022-06-30T00:00:00"/>
    <s v="Under Implementation"/>
    <s v="Infrastructure Project"/>
    <n v="9150000000"/>
    <n v="2700000000"/>
    <n v="0"/>
    <n v="0"/>
    <n v="2700000000"/>
    <n v="2700000000"/>
    <n v="0"/>
    <n v="0"/>
    <n v="0"/>
    <n v="0"/>
    <m/>
    <n v="14550000000"/>
    <m/>
    <m/>
    <m/>
    <s v="N"/>
  </r>
  <r>
    <s v="MYCS Template for Vote 013 MOES 1_02_2021 bbb.xlsx"/>
    <x v="114"/>
    <s v="1310 Albertine Region Sustainable Development Project -013"/>
    <x v="14"/>
    <x v="14"/>
    <x v="14"/>
    <x v="1"/>
    <d v="2014-01-07T00:00:00"/>
    <d v="2022-06-30T00:00:00"/>
    <s v="Under Implementation"/>
    <s v="Infrastructure Project"/>
    <n v="76059382500"/>
    <n v="41330000000"/>
    <n v="0"/>
    <n v="0"/>
    <n v="17764953750"/>
    <n v="17764953750"/>
    <n v="0"/>
    <n v="0"/>
    <n v="0"/>
    <n v="0"/>
    <n v="0"/>
    <n v="135154336250"/>
    <m/>
    <m/>
    <m/>
    <m/>
  </r>
  <r>
    <s v="MYCS Template for Vote 013 MOES 1_02_2021 bbb.xlsx"/>
    <x v="114"/>
    <s v="1310 Albertine Region Sustainable Development Project -013"/>
    <x v="14"/>
    <x v="14"/>
    <x v="14"/>
    <x v="0"/>
    <d v="2014-01-07T00:00:00"/>
    <d v="2022-06-30T00:00:00"/>
    <s v="Under Implementation"/>
    <s v="Infrastructure Project"/>
    <n v="6361243705"/>
    <n v="2950000000"/>
    <n v="0"/>
    <n v="0"/>
    <n v="838756295"/>
    <n v="838756295"/>
    <n v="0"/>
    <n v="0"/>
    <n v="0"/>
    <n v="0"/>
    <n v="0"/>
    <n v="10150000000"/>
    <m/>
    <s v="Exchange used is 3750"/>
    <m/>
    <m/>
  </r>
  <r>
    <s v="MYCS Template for Vote 013 MOES 1_02_2021 bbb.xlsx"/>
    <x v="115"/>
    <s v="1338 Skills Development Project -013"/>
    <x v="14"/>
    <x v="14"/>
    <x v="14"/>
    <x v="0"/>
    <d v="2015-01-07T00:00:00"/>
    <d v="2022-06-30T00:00:00"/>
    <s v="Under Implementation"/>
    <s v="Infrastructure Project"/>
    <n v="15370000000"/>
    <n v="0"/>
    <n v="0"/>
    <n v="0"/>
    <n v="0"/>
    <m/>
    <n v="0"/>
    <n v="0"/>
    <n v="0"/>
    <n v="0"/>
    <m/>
    <n v="15370000000"/>
    <m/>
    <m/>
    <m/>
    <m/>
  </r>
  <r>
    <s v="MYCS Template for Vote 013 MOES 1_02_2021 bbb.xlsx"/>
    <x v="115"/>
    <s v="1338 Skills Development Project -013"/>
    <x v="14"/>
    <x v="14"/>
    <x v="14"/>
    <x v="1"/>
    <d v="2015-01-07T00:00:00"/>
    <d v="2022-06-30T00:00:00"/>
    <s v="Under Implementation"/>
    <s v="Infrastructure Project"/>
    <n v="192501000000"/>
    <n v="58820000000"/>
    <n v="0"/>
    <m/>
    <n v="89938286250"/>
    <n v="89938286250"/>
    <n v="0"/>
    <n v="0"/>
    <n v="0"/>
    <m/>
    <m/>
    <n v="341259286250"/>
    <m/>
    <s v="Exchange used is 3750"/>
    <m/>
    <m/>
  </r>
  <r>
    <s v="MYCS Template for Vote 013 MOES 1_02_2021 bbb.xlsx"/>
    <x v="116"/>
    <s v="1540 Development of Secondary Education Phase II"/>
    <x v="14"/>
    <x v="14"/>
    <x v="14"/>
    <x v="0"/>
    <d v="2021-01-07T00:00:00"/>
    <d v="2022-06-30T00:00:00"/>
    <s v="Under Implementation"/>
    <s v="Infrastructure Project"/>
    <n v="40314000000"/>
    <n v="14870000000"/>
    <n v="5200000000"/>
    <n v="0"/>
    <n v="14870000000"/>
    <n v="20070000000"/>
    <n v="0"/>
    <n v="0"/>
    <n v="0"/>
    <n v="0"/>
    <m/>
    <n v="75254000000"/>
    <m/>
    <s v="The Project complement other existing interventions by focusing on construction of new schools in sub-counties without any form of Secondary School, Rehabilitate and expand existing secondary schools, provide and maintain solar packages in secondary schools"/>
    <m/>
    <m/>
  </r>
  <r>
    <s v="MYCS Template for Vote 013 MOES 1_02_2021 bbb.xlsx"/>
    <x v="117"/>
    <s v="1339 Emergency Construction of Primary Schools Phase II  "/>
    <x v="14"/>
    <x v="14"/>
    <x v="14"/>
    <x v="0"/>
    <d v="2018-01-07T00:00:00"/>
    <d v="2022-06-30T00:00:00"/>
    <s v="Under Implementation"/>
    <s v="Infrastructure Project"/>
    <n v="40464000000"/>
    <n v="10980000000"/>
    <n v="2803278594"/>
    <n v="0"/>
    <n v="10980000000"/>
    <n v="13783278594"/>
    <n v="0"/>
    <n v="0"/>
    <n v="0"/>
    <n v="0"/>
    <m/>
    <n v="65227278594"/>
    <m/>
    <m/>
    <m/>
    <m/>
  </r>
  <r>
    <s v="MYCS Template for Vote 013 MOES 1_02_2021 bbb.xlsx"/>
    <x v="118"/>
    <e v="#N/A"/>
    <x v="14"/>
    <x v="14"/>
    <x v="14"/>
    <x v="0"/>
    <d v="2021-01-07T00:00:00"/>
    <d v="2025-06-30T00:00:00"/>
    <s v="Under Implementation"/>
    <s v="Retooling Project"/>
    <n v="8340000000"/>
    <n v="10430000000"/>
    <n v="0"/>
    <n v="0"/>
    <n v="4050000000"/>
    <n v="4050000000"/>
    <n v="4050000000"/>
    <n v="4050000000"/>
    <n v="4050000000"/>
    <m/>
    <m/>
    <n v="34970000000"/>
    <m/>
    <m/>
    <m/>
    <m/>
  </r>
  <r>
    <s v="MYCS Template for Vote 013 MOES 1_02_2021 bbb.xlsx"/>
    <x v="119"/>
    <e v="#N/A"/>
    <x v="14"/>
    <x v="14"/>
    <x v="14"/>
    <x v="1"/>
    <d v="2019-01-07T00:00:00"/>
    <d v="2024-01-07T00:00:00"/>
    <s v="Under Implementation"/>
    <s v="Infrastructure Project"/>
    <n v="23100000000"/>
    <n v="38380000000"/>
    <m/>
    <m/>
    <n v="7430000000"/>
    <n v="7430000000"/>
    <n v="43520000000"/>
    <n v="52430000000"/>
    <n v="0"/>
    <m/>
    <m/>
    <n v="164860000000"/>
    <m/>
    <m/>
    <m/>
    <m/>
  </r>
  <r>
    <s v="MYCS Template for Vote 013 MOES 1_02_2021 bbb.xlsx"/>
    <x v="119"/>
    <e v="#N/A"/>
    <x v="14"/>
    <x v="14"/>
    <x v="14"/>
    <x v="0"/>
    <d v="2019-01-07T00:00:00"/>
    <d v="2024-01-07T00:00:00"/>
    <s v="Under Implementation"/>
    <s v="Infrastructure Project"/>
    <n v="60000000"/>
    <n v="0"/>
    <m/>
    <m/>
    <n v="2100000000"/>
    <n v="2100000000"/>
    <n v="6500000000"/>
    <n v="9120000000"/>
    <n v="0"/>
    <n v="0"/>
    <m/>
    <n v="17780000000"/>
    <m/>
    <m/>
    <m/>
    <m/>
  </r>
  <r>
    <s v="MYCS Template for Vote 013 MOES 1_02_2021 bbb.xlsx"/>
    <x v="120"/>
    <s v="1432 OFID Funded Vocational Project Phase II"/>
    <x v="14"/>
    <x v="14"/>
    <x v="14"/>
    <x v="1"/>
    <d v="2017-01-07T00:00:00"/>
    <d v="2022-06-30T00:00:00"/>
    <s v="Under Implementation"/>
    <s v="Infrastructure Project"/>
    <n v="8610000000"/>
    <n v="29240000000"/>
    <m/>
    <m/>
    <n v="58060000000"/>
    <n v="58060000000"/>
    <n v="0"/>
    <n v="0"/>
    <n v="0"/>
    <m/>
    <m/>
    <n v="95910000000"/>
    <m/>
    <m/>
    <m/>
    <m/>
  </r>
  <r>
    <s v="MYCS Template for Vote 013 MOES 1_02_2021 bbb.xlsx"/>
    <x v="120"/>
    <s v="1432 OFID Funded Vocational Project Phase II"/>
    <x v="14"/>
    <x v="14"/>
    <x v="14"/>
    <x v="0"/>
    <d v="2017-02-07T00:00:00"/>
    <d v="2022-01-07T00:00:00"/>
    <s v="Under Implementation"/>
    <s v="Infrastructure Project"/>
    <n v="15490000000"/>
    <n v="0"/>
    <n v="0"/>
    <n v="0"/>
    <n v="0"/>
    <n v="0"/>
    <n v="0"/>
    <n v="0"/>
    <n v="0"/>
    <m/>
    <m/>
    <n v="15490000000"/>
    <m/>
    <m/>
    <m/>
    <m/>
  </r>
  <r>
    <s v="MYCS Template for Vote 013 MOES 1_02_2021 bbb.xlsx"/>
    <x v="121"/>
    <s v="1412 The Technical Vocational Education and Training (TVET-LEAD)"/>
    <x v="14"/>
    <x v="14"/>
    <x v="14"/>
    <x v="1"/>
    <d v="2016-01-07T00:00:00"/>
    <d v="2022-09-30T00:00:00"/>
    <s v="Under Implementation"/>
    <s v="Infrastructure Project"/>
    <n v="3790000000"/>
    <n v="0"/>
    <m/>
    <m/>
    <m/>
    <n v="0"/>
    <n v="0"/>
    <n v="0"/>
    <n v="0"/>
    <m/>
    <m/>
    <n v="3790000000"/>
    <m/>
    <m/>
    <m/>
    <m/>
  </r>
  <r>
    <s v="MYCS Template for Vote 013 MOES 1_02_2021 bbb.xlsx"/>
    <x v="121"/>
    <s v="1412 The Technical Vocational Education and Training (TVET-LEAD)"/>
    <x v="14"/>
    <x v="14"/>
    <x v="14"/>
    <x v="0"/>
    <d v="2016-01-07T00:00:00"/>
    <d v="2022-09-30T00:00:00"/>
    <s v="Under Implementation"/>
    <s v="Infrastructure Project"/>
    <n v="1430000000"/>
    <n v="16550000000"/>
    <m/>
    <m/>
    <m/>
    <n v="0"/>
    <n v="0"/>
    <n v="0"/>
    <n v="0"/>
    <m/>
    <m/>
    <n v="17980000000"/>
    <m/>
    <s v="The effects of COVID-19 pandemic and low releases in the two quarters,  stagnated project activities. This  affected implementation and completion of the project activities. Whereas Japan International Development Agency (JICA)  achieved her part, the Institute  experienced challenges in completion of desired infrastructure due inadequate financial releases in FY 2019/20."/>
    <m/>
    <m/>
  </r>
  <r>
    <s v="MYCS Template for Vote 013 MOES 1_02_2021 bbb.xlsx"/>
    <x v="122"/>
    <s v="1491 African Centers of Excellence II"/>
    <x v="14"/>
    <x v="14"/>
    <x v="14"/>
    <x v="1"/>
    <d v="2016-01-10T00:00:00"/>
    <d v="2022-01-10T00:00:00"/>
    <s v="Under Implementation"/>
    <s v="Infrastructure Project"/>
    <n v="190000000"/>
    <n v="12740000000"/>
    <m/>
    <m/>
    <n v="17490000000"/>
    <n v="17490000000"/>
    <n v="0"/>
    <n v="0"/>
    <n v="0"/>
    <m/>
    <m/>
    <n v="30420000000"/>
    <m/>
    <m/>
    <m/>
    <m/>
  </r>
  <r>
    <s v="MYCS Template for Vote 013 MOES 1_02_2021 bbb.xlsx"/>
    <x v="122"/>
    <s v="1491 African Centers of Excellence II"/>
    <x v="14"/>
    <x v="14"/>
    <x v="14"/>
    <x v="0"/>
    <d v="2016-02-10T00:00:00"/>
    <d v="2022-02-10T00:00:00"/>
    <s v="Under Implementation"/>
    <s v="Infrastructure Project"/>
    <n v="33340000000"/>
    <n v="0"/>
    <m/>
    <m/>
    <m/>
    <n v="0"/>
    <n v="0"/>
    <n v="0"/>
    <n v="0"/>
    <m/>
    <m/>
    <n v="33340000000"/>
    <m/>
    <m/>
    <m/>
    <m/>
  </r>
  <r>
    <s v="MYCS Template for Vote 013 MOES 1_02_2021 bbb.xlsx"/>
    <x v="123"/>
    <s v="1665 Uganda Secondary Education Expansion Project"/>
    <x v="14"/>
    <x v="14"/>
    <x v="14"/>
    <x v="1"/>
    <d v="2019-11-06T00:00:00"/>
    <d v="2025-02-12T00:00:00"/>
    <s v="Under Procurement"/>
    <s v="Infrastructure Project"/>
    <n v="0"/>
    <n v="38800000000"/>
    <n v="0"/>
    <n v="0"/>
    <m/>
    <n v="0"/>
    <n v="81880000000"/>
    <n v="167360000000"/>
    <n v="185700000000"/>
    <m/>
    <m/>
    <n v="473740000000"/>
    <m/>
    <m/>
    <m/>
    <m/>
  </r>
  <r>
    <s v="MYCS Template for Vote 013 MOES 1_02_2021 bbb.xlsx"/>
    <x v="123"/>
    <s v="1665 Uganda Secondary Education Expansion Project"/>
    <x v="14"/>
    <x v="14"/>
    <x v="14"/>
    <x v="0"/>
    <d v="2019-11-06T00:00:00"/>
    <d v="2025-02-12T00:00:00"/>
    <s v="Under Procurement"/>
    <s v="Infrastructure Project"/>
    <n v="0"/>
    <n v="1000000000"/>
    <n v="0"/>
    <n v="1500000000"/>
    <n v="0"/>
    <n v="1500000000"/>
    <n v="1500000000"/>
    <n v="33800000000"/>
    <n v="33800000000"/>
    <n v="0"/>
    <m/>
    <n v="71600000000"/>
    <m/>
    <m/>
    <m/>
    <m/>
  </r>
  <r>
    <s v="OPM MYC populated Template Uganda Workshop 29.1.21.xlsx"/>
    <x v="124"/>
    <s v="1673 Retooling of Office of the Prime Minister "/>
    <x v="15"/>
    <x v="15"/>
    <x v="15"/>
    <x v="0"/>
    <d v="2020-07-01T00:00:00"/>
    <d v="2025-06-30T00:00:00"/>
    <s v="Under Implementation"/>
    <s v="Retooling Project"/>
    <n v="0"/>
    <n v="2056000000"/>
    <n v="0"/>
    <m/>
    <m/>
    <n v="2060000000"/>
    <n v="5291300000"/>
    <n v="2905800000"/>
    <n v="1788400000"/>
    <m/>
    <m/>
    <n v="14101500000"/>
    <n v="14101500000"/>
    <s v="This is a new project which started July 2020."/>
    <m/>
    <s v="Y"/>
  </r>
  <r>
    <s v="OPM MYC populated Template Uganda Workshop 29.1.21.xlsx"/>
    <x v="125"/>
    <s v="1486 Development Innitiative for Northern Uganda"/>
    <x v="15"/>
    <x v="15"/>
    <x v="15"/>
    <x v="1"/>
    <d v="2017-07-01T00:00:00"/>
    <d v="2022-06-30T00:00:00"/>
    <s v="Under Implementation"/>
    <s v="Social Project"/>
    <n v="8820000000"/>
    <n v="38381000000"/>
    <n v="0"/>
    <m/>
    <m/>
    <n v="389818000000"/>
    <m/>
    <m/>
    <m/>
    <m/>
    <m/>
    <n v="437019000000"/>
    <n v="470400000000"/>
    <s v="The project is expected to end June 2021. The the project is granted extention based on budget shortfall of UGX 33,381,000,000. The contract for construction of Gulu Logistic Hub, upgading of Atiak - Laropi road have been awarded. Mini-Grids have been promoted in 9 of 25 villages of Lamwo, construction of 8 valley tanks ongoing in Karamoja, construction/rehabilitation of over 407km of road ongoing in Abim, Amudat, Adjumani &amp; Moyo districts. "/>
    <m/>
    <s v="N"/>
  </r>
  <r>
    <s v="OPM MYC populated Template Uganda Workshop 29.1.21.xlsx"/>
    <x v="126"/>
    <s v="1499 Development Response for Displacement IMPACTS Project (DRDIP)"/>
    <x v="15"/>
    <x v="15"/>
    <x v="15"/>
    <x v="1"/>
    <d v="2017-07-01T00:00:00"/>
    <d v="2022-06-30T00:00:00"/>
    <s v="Under Implementation"/>
    <s v="Social Project"/>
    <n v="171540000000"/>
    <n v="233183000000"/>
    <n v="0"/>
    <m/>
    <m/>
    <n v="176910000000"/>
    <m/>
    <m/>
    <m/>
    <m/>
    <m/>
    <n v="581633000000"/>
    <n v="740000000000"/>
    <s v="The total project cost is USD 200 million. The cost in UGX was determined at exchange rate of USD = UGX 3700. The project is granted extention based on budget shortfall of UGX 158,367,000,000. Social service Infrastructure have been constructed under the project (classrooms 460, Teacher houses 28 blocks, 237 blocks of 5 latrine stances, Health facilities 43 and community roads 279.8kms) as well as supported 83,545 households with traditional &amp; nontraditional livelihoods in the refugee hosting communities."/>
    <m/>
    <m/>
  </r>
  <r>
    <s v="REA MYC 2021 MoFPED LN.xlsx"/>
    <x v="127"/>
    <s v="1262 Rural Electrification Project"/>
    <x v="16"/>
    <x v="16"/>
    <x v="16"/>
    <x v="1"/>
    <d v="2013-06-30T00:00:00"/>
    <d v="2023-06-30T00:00:00"/>
    <s v="Under Implementation"/>
    <s v="Infrastructure Project"/>
    <n v="338651000000"/>
    <n v="56094416000"/>
    <n v="0"/>
    <m/>
    <n v="18500000000"/>
    <n v="18500000000"/>
    <n v="3700000000"/>
    <m/>
    <m/>
    <m/>
    <m/>
    <n v="416945416000"/>
    <n v="652258662303"/>
    <s v="Project cost indicated as the loan amount converted to UGX"/>
    <m/>
    <s v="Y"/>
  </r>
  <r>
    <s v="REA MYC 2021 MoFPED LN.xlsx"/>
    <x v="127"/>
    <s v="1262 Rural Electrification Project"/>
    <x v="16"/>
    <x v="16"/>
    <x v="16"/>
    <x v="0"/>
    <d v="2013-06-30T00:00:00"/>
    <d v="2023-06-30T00:00:00"/>
    <s v="Under Implementation"/>
    <s v="Infrastructure Project"/>
    <n v="608631000000"/>
    <n v="118139341000"/>
    <n v="0"/>
    <m/>
    <n v="221140000000"/>
    <n v="221140000000"/>
    <n v="128140000000"/>
    <m/>
    <m/>
    <m/>
    <m/>
    <n v="1076050341000"/>
    <m/>
    <m/>
    <m/>
    <s v="N"/>
  </r>
  <r>
    <s v="REA MYC 2021 MoFPED LN.xlsx"/>
    <x v="128"/>
    <s v="1428 Energy for Rural Transformation (ERT) Phase III -REA"/>
    <x v="16"/>
    <x v="16"/>
    <x v="16"/>
    <x v="1"/>
    <d v="2016-06-30T00:00:00"/>
    <d v="2022-12-31T00:00:00"/>
    <s v="Under Implementation"/>
    <s v="Infrastructure Project"/>
    <n v="80970000000"/>
    <n v="173142900000"/>
    <n v="0"/>
    <m/>
    <n v="55763000000"/>
    <n v="55763000000"/>
    <n v="0"/>
    <m/>
    <m/>
    <m/>
    <m/>
    <n v="309875900000"/>
    <n v="452400000000"/>
    <s v="Project cost indicated as the loan amount converted to UGX"/>
    <m/>
    <m/>
  </r>
  <r>
    <s v="REA MYC 2021 MoFPED LN.xlsx"/>
    <x v="128"/>
    <s v="1428 Energy for Rural Transformation (ERT) Phase III -REA"/>
    <x v="16"/>
    <x v="16"/>
    <x v="16"/>
    <x v="0"/>
    <d v="2021-06-30T00:00:00"/>
    <d v="2022-12-31T00:00:00"/>
    <s v="Under Implementation"/>
    <s v="Infrastructure Project"/>
    <n v="950000000"/>
    <n v="0"/>
    <n v="0"/>
    <m/>
    <n v="0"/>
    <n v="0"/>
    <n v="0"/>
    <n v="0"/>
    <n v="0"/>
    <m/>
    <m/>
    <n v="950000000"/>
    <m/>
    <m/>
    <m/>
    <m/>
  </r>
  <r>
    <s v="REA MYC 2021 MoFPED LN.xlsx"/>
    <x v="129"/>
    <s v="1517 Bridging the demand gap through the accelerated rural electrification Programme (TBEA)"/>
    <x v="16"/>
    <x v="16"/>
    <x v="16"/>
    <x v="1"/>
    <d v="2018-07-01T00:00:00"/>
    <d v="2022-06-30T00:00:00"/>
    <s v="Under Implementation"/>
    <s v="Infrastructure Project"/>
    <n v="93570000000"/>
    <n v="112092972000"/>
    <n v="0"/>
    <m/>
    <n v="245786000000"/>
    <n v="245786000000"/>
    <n v="0"/>
    <n v="0"/>
    <n v="0"/>
    <m/>
    <m/>
    <n v="366038972000"/>
    <n v="829413000000"/>
    <s v="Project cost indicated as the loan amount converted to UGX"/>
    <m/>
    <m/>
  </r>
  <r>
    <s v="REA MYC 2021 MoFPED LN.xlsx"/>
    <x v="129"/>
    <s v="1517 Bridging the demand gap through the accelerated rural electrification Programme (TBEA)"/>
    <x v="16"/>
    <x v="16"/>
    <x v="16"/>
    <x v="0"/>
    <d v="2018-07-01T00:00:00"/>
    <d v="2022-06-30T00:00:00"/>
    <s v="Under Implementation"/>
    <s v="Infrastructure Project"/>
    <n v="8160000000"/>
    <n v="10000000000"/>
    <n v="0"/>
    <m/>
    <n v="10000000000"/>
    <n v="10000000000"/>
    <n v="0"/>
    <n v="0"/>
    <n v="0"/>
    <m/>
    <m/>
    <n v="28160000000"/>
    <m/>
    <m/>
    <m/>
    <m/>
  </r>
  <r>
    <s v="REA MYC 2021 MoFPED LN.xlsx"/>
    <x v="130"/>
    <s v="1518 Uganda Rural Electrification Access Project (UREAP)"/>
    <x v="16"/>
    <x v="16"/>
    <x v="16"/>
    <x v="1"/>
    <d v="2018-07-01T00:00:00"/>
    <d v="2022-06-30T00:00:00"/>
    <s v="Under Implementation"/>
    <s v="Infrastructure Project"/>
    <n v="68610000000"/>
    <n v="157410000000"/>
    <n v="0"/>
    <m/>
    <n v="144581000000"/>
    <n v="144581000000"/>
    <n v="0"/>
    <n v="0"/>
    <n v="0"/>
    <m/>
    <m/>
    <n v="370601000000"/>
    <n v="390000000000"/>
    <s v="Project cost indicated as the loan amount converted to UGX"/>
    <m/>
    <m/>
  </r>
  <r>
    <s v="REA MYC 2021 MoFPED LN.xlsx"/>
    <x v="130"/>
    <s v="1518 Uganda Rural Electrification Access Project (UREAP)"/>
    <x v="16"/>
    <x v="16"/>
    <x v="16"/>
    <x v="0"/>
    <d v="2018-07-01T00:00:00"/>
    <d v="2022-06-30T00:00:00"/>
    <s v="Under Implementation"/>
    <s v="Infrastructure Project"/>
    <n v="0"/>
    <n v="0"/>
    <n v="0"/>
    <m/>
    <n v="0"/>
    <n v="0"/>
    <n v="0"/>
    <n v="0"/>
    <n v="0"/>
    <m/>
    <m/>
    <n v="0"/>
    <m/>
    <m/>
    <m/>
    <m/>
  </r>
  <r>
    <s v="Soroti University MYC (1).xlsx"/>
    <x v="131"/>
    <s v="1680 Retooling of Soroti University"/>
    <x v="17"/>
    <x v="17"/>
    <x v="17"/>
    <x v="0"/>
    <d v="2020-07-01T00:00:00"/>
    <d v="2025-07-01T00:00:00"/>
    <s v="Under Procurement"/>
    <s v="Retooling Project"/>
    <n v="0"/>
    <n v="1900000000"/>
    <n v="0"/>
    <n v="0"/>
    <n v="3850000000"/>
    <n v="3850000000"/>
    <n v="1650000000"/>
    <n v="1550000000"/>
    <n v="1150000000"/>
    <m/>
    <m/>
    <n v="10100000000"/>
    <n v="10100000000"/>
    <s v="Funds are needed for  Equipping of Medical Laboratories, Engineering Laboratories,Installation of assorted  network equipment and servers (ICT) for Odel, Procurement of Furniture and fittings, Procurement of Vehicles   (Ambulance and bus), Procurement of sports and games kits and Heavy duty printers."/>
    <m/>
    <m/>
  </r>
  <r>
    <s v="Soroti University MYC (1).xlsx"/>
    <x v="132"/>
    <s v="1419 Support to Soroti University Infrastructure Development"/>
    <x v="17"/>
    <x v="17"/>
    <x v="17"/>
    <x v="0"/>
    <d v="2020-07-01T00:00:00"/>
    <d v="2025-07-01T00:00:00"/>
    <s v="Under Implementation"/>
    <s v="Infrastructure Project"/>
    <n v="0"/>
    <n v="4100000000"/>
    <n v="0"/>
    <n v="0"/>
    <n v="15000000000"/>
    <n v="15000000000"/>
    <n v="13335000000"/>
    <n v="9000000000"/>
    <n v="915000000"/>
    <m/>
    <m/>
    <n v="42350000000"/>
    <n v="42350000000"/>
    <s v="Funds are needed for the Construction of a  Centre of excellence for Tropical Medicine (Anatomy block) and a Centre of excellence for renewable energy (SET), Construction of a Library , completion of the dining facility, Architectural drawings, plans and designs for the Library, SET, University master plan, opening of University roads, installation of solar security lights and construction of University sports complex."/>
    <m/>
    <m/>
  </r>
  <r>
    <s v="The Multi-Year Commitments 2021 for MoLG.xlsx"/>
    <x v="133"/>
    <s v="1360 Markets and Agricultural Trade Improvements Programme (MATIP 2)"/>
    <x v="18"/>
    <x v="18"/>
    <x v="18"/>
    <x v="0"/>
    <d v="2015-07-28T00:00:00"/>
    <m/>
    <s v="Under Implementation"/>
    <s v="Infrastructure Project"/>
    <n v="12219713932"/>
    <n v="1000000000"/>
    <n v="0"/>
    <n v="1000000000"/>
    <n v="1200000000"/>
    <n v="2200000000"/>
    <n v="0"/>
    <n v="0"/>
    <n v="0"/>
    <n v="0"/>
    <m/>
    <n v="15419713932"/>
    <m/>
    <m/>
    <m/>
    <s v="Y"/>
  </r>
  <r>
    <s v="The Multi-Year Commitments 2021 for MoLG.xlsx"/>
    <x v="133"/>
    <s v="1360 Markets and Agricultural Trade Improvements Programme (MATIP 2)"/>
    <x v="18"/>
    <x v="18"/>
    <x v="18"/>
    <x v="1"/>
    <d v="2015-07-28T00:00:00"/>
    <d v="2022-06-30T00:00:00"/>
    <s v="Under Implementation"/>
    <s v="Infrastructure Project"/>
    <n v="169643847368"/>
    <n v="75115000000"/>
    <n v="0"/>
    <m/>
    <n v="68400000000"/>
    <n v="68400000000"/>
    <m/>
    <m/>
    <m/>
    <m/>
    <m/>
    <n v="313158847368"/>
    <n v="307330000000"/>
    <m/>
    <m/>
    <s v="N"/>
  </r>
  <r>
    <s v="The Multi-Year Commitments 2021 for MoLG.xlsx"/>
    <x v="134"/>
    <s v="1381 Restoration of Livelihoods in Northern Region (PRELNOR)"/>
    <x v="18"/>
    <x v="18"/>
    <x v="18"/>
    <x v="0"/>
    <d v="2015-08-05T00:00:00"/>
    <d v="2022-08-05T00:00:00"/>
    <s v="Under Implementation"/>
    <s v="Social Project"/>
    <n v="10382720555"/>
    <n v="4912240666"/>
    <n v="0"/>
    <n v="13409927982"/>
    <n v="0"/>
    <n v="13409927982"/>
    <n v="0"/>
    <m/>
    <m/>
    <m/>
    <m/>
    <n v="28704889203"/>
    <n v="34040000000"/>
    <m/>
    <m/>
    <m/>
  </r>
  <r>
    <s v="The Multi-Year Commitments 2021 for MoLG.xlsx"/>
    <x v="134"/>
    <s v="1381 Restoration of Livelihoods in Northern Region (PRELNOR)"/>
    <x v="18"/>
    <x v="18"/>
    <x v="18"/>
    <x v="1"/>
    <d v="2015-08-05T00:00:00"/>
    <d v="2022-08-05T00:00:00"/>
    <s v="Under Implementation"/>
    <s v="Social Project"/>
    <n v="109296411445"/>
    <n v="49622215035"/>
    <n v="0"/>
    <n v="37965322600"/>
    <n v="0"/>
    <n v="37965322600"/>
    <n v="0"/>
    <n v="0"/>
    <n v="0"/>
    <m/>
    <m/>
    <n v="196883949080"/>
    <n v="216081000000"/>
    <m/>
    <m/>
    <m/>
  </r>
  <r>
    <s v="The Multi-Year Commitments 2021 for MoLG.xlsx"/>
    <x v="135"/>
    <s v="1509 Local Economic Growth (LEGS) Support Project"/>
    <x v="18"/>
    <x v="18"/>
    <x v="18"/>
    <x v="0"/>
    <d v="2019-02-25T00:00:00"/>
    <d v="2023-02-25T00:00:00"/>
    <s v="Under Implementation"/>
    <s v="Infrastructure Project"/>
    <n v="2000000000"/>
    <n v="1000000000"/>
    <n v="0"/>
    <n v="3648000000"/>
    <n v="3648000000"/>
    <n v="7296000000"/>
    <n v="3648000000"/>
    <n v="0"/>
    <n v="0"/>
    <m/>
    <m/>
    <n v="13944000000"/>
    <n v="18592000000"/>
    <m/>
    <m/>
    <m/>
  </r>
  <r>
    <s v="The Multi-Year Commitments 2021 for MoLG.xlsx"/>
    <x v="135"/>
    <s v="1509 Local Economic Growth (LEGS) Support Project"/>
    <x v="18"/>
    <x v="18"/>
    <x v="18"/>
    <x v="1"/>
    <d v="2019-02-25T00:00:00"/>
    <d v="2023-02-25T00:00:00"/>
    <s v="Under Implementation"/>
    <s v="Infrastructure Project"/>
    <n v="25550000000"/>
    <n v="28209976100"/>
    <n v="0"/>
    <n v="0"/>
    <n v="50710000000"/>
    <n v="50710000000"/>
    <n v="43800000000"/>
    <n v="0"/>
    <n v="0"/>
    <m/>
    <m/>
    <n v="148269976100"/>
    <n v="220279952200"/>
    <m/>
    <m/>
    <m/>
  </r>
  <r>
    <s v="The Multi-Year Commitments 2021 for MoLG.xlsx"/>
    <x v="136"/>
    <s v="1652 Retooling of Ministry of Local Government"/>
    <x v="18"/>
    <x v="18"/>
    <x v="18"/>
    <x v="0"/>
    <d v="2020-07-01T00:00:00"/>
    <d v="2025-02-25T00:00:00"/>
    <s v="Under Implementation"/>
    <s v="Retooling Project"/>
    <n v="18950000000"/>
    <n v="18950000000"/>
    <n v="0"/>
    <n v="0"/>
    <n v="18950000000"/>
    <n v="18950000000"/>
    <n v="18950000000"/>
    <n v="18950000000"/>
    <n v="18950000000"/>
    <n v="0"/>
    <m/>
    <n v="113700000000"/>
    <m/>
    <m/>
    <m/>
    <m/>
  </r>
  <r>
    <s v="The Multi-Year Commitments 2021 for MoLG.xlsx"/>
    <x v="137"/>
    <s v="1704 Development of Local Government's Revenue Collection and Management Information System"/>
    <x v="18"/>
    <x v="18"/>
    <x v="18"/>
    <x v="0"/>
    <d v="2021-07-01T00:00:00"/>
    <d v="2026-06-30T00:00:00"/>
    <s v="Under Procurement"/>
    <s v="Infrastructure Project"/>
    <n v="0"/>
    <n v="0"/>
    <n v="0"/>
    <m/>
    <n v="10814693757"/>
    <n v="10814693757"/>
    <n v="11621873757"/>
    <n v="12429053757"/>
    <n v="13236233757"/>
    <n v="10478515838"/>
    <m/>
    <n v="58580370866"/>
    <n v="58580370866"/>
    <s v="The project is new and it has just received a code effective FY 2021/22 to FY 2025/26"/>
    <m/>
    <m/>
  </r>
  <r>
    <s v="Vote 009 Multi year commitment template-Updated 05022021.xlsx"/>
    <x v="138"/>
    <s v="1641 Retooling of Ministry of Internal Affairs"/>
    <x v="19"/>
    <x v="19"/>
    <x v="19"/>
    <x v="0"/>
    <d v="2020-01-07T00:00:00"/>
    <m/>
    <s v="Under Implementation"/>
    <s v="Retooling Project"/>
    <n v="0"/>
    <n v="7428701718"/>
    <n v="0"/>
    <n v="0"/>
    <n v="12651298282"/>
    <n v="12651298282"/>
    <n v="8900000000"/>
    <n v="8400000000"/>
    <n v="7900000000"/>
    <m/>
    <m/>
    <n v="45280000000"/>
    <n v="43600000000"/>
    <s v="This retooling project is to incorporate proposed interventions for peace building and war rehabilitation in the coming years as per guidance from the PS/ST (Ref: PAP/54/141/01). This will lead to an increase in the project cost."/>
    <m/>
    <s v="Y"/>
  </r>
  <r>
    <s v="MYC OFFICE OF THE PRESIDENT edited"/>
    <x v="139"/>
    <s v="1593 Retooling of Internal Security Organization"/>
    <x v="20"/>
    <x v="20"/>
    <x v="20"/>
    <x v="0"/>
    <d v="2020-07-01T00:00:00"/>
    <d v="2025-06-30T00:00:00"/>
    <s v="Under Implementation"/>
    <s v="Retooling Project"/>
    <n v="0"/>
    <n v="410710000"/>
    <m/>
    <n v="0"/>
    <n v="159692082000"/>
    <n v="159692082000"/>
    <n v="100613561000"/>
    <n v="126889131500"/>
    <n v="125114037500"/>
    <n v="0"/>
    <m/>
    <n v="512719522000"/>
    <n v="512719522000"/>
    <s v="Gross underfunding being experienced so far and will negatively affect achievement of project objectives. Intervention by MoFPED through prioritisation and increased funding is required"/>
    <m/>
    <m/>
  </r>
  <r>
    <s v="MYC OFFICE OF THE PRESIDENT edited"/>
    <x v="140"/>
    <s v="1589 Retooling of Office of the President"/>
    <x v="20"/>
    <x v="20"/>
    <x v="20"/>
    <x v="0"/>
    <d v="2020-07-01T00:00:00"/>
    <d v="2025-06-30T00:00:00"/>
    <s v="Under Implementation"/>
    <s v="Retooling Project"/>
    <n v="0"/>
    <n v="14650000000"/>
    <n v="0"/>
    <n v="0"/>
    <n v="15000000000"/>
    <n v="15000000000"/>
    <n v="15000000000"/>
    <n v="15000000000"/>
    <n v="15000000000"/>
    <m/>
    <m/>
    <n v="74650000000"/>
    <n v="72000000000"/>
    <s v="Creation of new administrative units and appoinment of additonal Presidential Advisers makes it achallenge for the Project to achieve targets for the 5 year period"/>
    <m/>
    <m/>
  </r>
</pivotCacheRecords>
</file>

<file path=xl/pivotCache/pivotCacheRecords2.xml><?xml version="1.0" encoding="utf-8"?>
<pivotCacheRecords xmlns="http://schemas.openxmlformats.org/spreadsheetml/2006/main" xmlns:r="http://schemas.openxmlformats.org/officeDocument/2006/relationships" count="369">
  <r>
    <s v="1"/>
    <s v="0220 Global Fund for AIDS, TB and Malaria"/>
    <e v="#NAME?"/>
    <s v="0220 Global Fund for AIDS, TB and Malaria"/>
    <s v="08"/>
    <s v="Health"/>
    <s v="014"/>
    <x v="0"/>
    <x v="0"/>
    <s v="0220"/>
    <s v="Global Fund for AIDS, TB and Malaria"/>
    <x v="0"/>
    <d v="2010-07-01T00:00:00"/>
    <d v="2022-06-30T00:00:00"/>
    <n v="13.5"/>
    <n v="713.71500000000003"/>
    <n v="727.21500000000003"/>
    <n v="0.154498413"/>
    <n v="11.305"/>
    <n v="703.03"/>
    <n v="714.33499999999992"/>
    <n v="0"/>
    <n v="0"/>
    <n v="0"/>
    <n v="0"/>
    <n v="0"/>
    <n v="0"/>
    <n v="0"/>
    <n v="0"/>
    <n v="0"/>
  </r>
  <r>
    <s v="2"/>
    <s v="0265 Upgrade Atiak - Moyo-Afoji (104km)"/>
    <e v="#NAME?"/>
    <s v="0265 Upgrade Atiak - Moyo-Afoji (104km)"/>
    <s v="04"/>
    <s v="Works and Transport"/>
    <s v="113"/>
    <x v="1"/>
    <x v="1"/>
    <s v="0265"/>
    <s v="Upgrade Atiak - Moyo-Afoji (104km)"/>
    <x v="0"/>
    <d v="2010-12-31T00:00:00"/>
    <d v="2024-06-30T00:00:00"/>
    <m/>
    <n v="226.34200000000001"/>
    <n v="226.34200000000001"/>
    <n v="1.5425524580000001"/>
    <n v="17.274120109999998"/>
    <n v="87"/>
    <n v="104.27412011"/>
    <n v="7.4498918080000003"/>
    <n v="41.2"/>
    <n v="48.649891808000007"/>
    <n v="5.0999999999999996"/>
    <n v="28.23"/>
    <n v="33.33"/>
    <n v="0"/>
    <n v="0"/>
    <n v="0"/>
  </r>
  <r>
    <s v="3"/>
    <s v="0267 Improvement of Ferry Services"/>
    <e v="#NAME?"/>
    <s v="0267 Improvement of Ferry Services"/>
    <s v="04"/>
    <s v="Works and Transport"/>
    <s v="113"/>
    <x v="1"/>
    <x v="1"/>
    <s v="0267"/>
    <s v="Improvement of Ferry Services"/>
    <x v="0"/>
    <d v="2010-12-31T00:00:00"/>
    <d v="2024-06-30T00:00:00"/>
    <n v="50"/>
    <m/>
    <n v="50"/>
    <n v="16.805923879000002"/>
    <n v="108.50592387899999"/>
    <n v="0"/>
    <n v="108.50592387899999"/>
    <n v="0"/>
    <n v="0"/>
    <n v="0"/>
    <n v="0"/>
    <n v="0"/>
    <n v="0"/>
    <n v="0"/>
    <n v="0"/>
    <n v="0"/>
  </r>
  <r>
    <s v="4"/>
    <s v="0368 Development"/>
    <e v="#NAME?"/>
    <s v="0368 Development"/>
    <s v="07"/>
    <s v="Education"/>
    <s v="137"/>
    <x v="0"/>
    <x v="0"/>
    <s v="0368"/>
    <s v="Development"/>
    <x v="0"/>
    <d v="2015-07-01T00:00:00"/>
    <d v="2022-06-30T00:00:00"/>
    <n v="130"/>
    <m/>
    <n v="130"/>
    <n v="5.2886757820000003"/>
    <n v="11.503351564000001"/>
    <n v="0"/>
    <n v="11.503351564000001"/>
    <n v="0"/>
    <n v="0"/>
    <n v="0"/>
    <n v="0"/>
    <n v="0"/>
    <n v="0"/>
    <n v="0"/>
    <n v="0"/>
    <n v="0"/>
  </r>
  <r>
    <s v="5"/>
    <s v="0890 Support to Justice Law and Order Sector"/>
    <e v="#NAME?"/>
    <s v="0890 Support to Justice Law and Order Sector"/>
    <s v="12"/>
    <s v="Justice, Law and Order"/>
    <s v="007"/>
    <x v="2"/>
    <x v="2"/>
    <s v="0890"/>
    <s v="Support to Justice Law and Order Sector"/>
    <x v="0"/>
    <d v="2006-07-01T00:00:00"/>
    <d v="2022-06-30T00:00:00"/>
    <n v="465.82"/>
    <n v="558.23099999999999"/>
    <n v="1024.0509999999999"/>
    <n v="0"/>
    <n v="127.641716167"/>
    <n v="27.95"/>
    <n v="155.59171616699999"/>
    <n v="0"/>
    <n v="0"/>
    <n v="0"/>
    <n v="0"/>
    <n v="0"/>
    <m/>
    <n v="0"/>
    <n v="0"/>
    <n v="0"/>
  </r>
  <r>
    <s v="6"/>
    <s v="0952 Design Masaka-Bukakata road"/>
    <e v="#NAME?"/>
    <s v="0952 Design Masaka-Bukakata road"/>
    <s v="04"/>
    <s v="Works and Transport"/>
    <s v="113"/>
    <x v="1"/>
    <x v="1"/>
    <s v="0952"/>
    <s v="Design Masaka-Bukakata road"/>
    <x v="0"/>
    <d v="2014-07-01T00:00:00"/>
    <d v="2022-06-30T00:00:00"/>
    <n v="50"/>
    <n v="80"/>
    <n v="130"/>
    <n v="1.40803689"/>
    <n v="5.40803689"/>
    <n v="0"/>
    <n v="5.40803689"/>
    <n v="0"/>
    <n v="0"/>
    <n v="0"/>
    <n v="0"/>
    <n v="0"/>
    <n v="0"/>
    <n v="0"/>
    <n v="0"/>
    <n v="0"/>
  </r>
  <r>
    <s v="7"/>
    <s v="1040 Design Kapchorwa-Suam road (77km)"/>
    <e v="#NAME?"/>
    <s v="1040 Design Kapchorwa-Suam road (77km)"/>
    <s v="04"/>
    <s v="Works and Transport"/>
    <s v="113"/>
    <x v="1"/>
    <x v="1"/>
    <s v="1040"/>
    <s v="Design Kapchorwa-Suam road (77km)"/>
    <x v="0"/>
    <d v="2013-01-31T00:00:00"/>
    <d v="2022-06-30T00:00:00"/>
    <n v="411.18799999999999"/>
    <m/>
    <n v="411.18799999999999"/>
    <n v="0"/>
    <n v="6.5589903920000001"/>
    <n v="87.846368568000003"/>
    <n v="94.405358960000001"/>
    <n v="0"/>
    <n v="0"/>
    <n v="0"/>
    <n v="0"/>
    <n v="0"/>
    <n v="0"/>
    <n v="0"/>
    <n v="0"/>
    <n v="0"/>
  </r>
  <r>
    <s v="8"/>
    <s v="1041 Design Kyenjojo-Hoima-Masindi-Kigumba (238km)"/>
    <e v="#NAME?"/>
    <s v="1041 Design Kyenjojo-Hoima-Masindi-Kigumba (238km)"/>
    <s v="04"/>
    <s v="Works and Transport"/>
    <s v="113"/>
    <x v="1"/>
    <x v="1"/>
    <s v="1041"/>
    <s v="Design Kyenjojo-Hoima-Masindi-Kigumba (238km)"/>
    <x v="0"/>
    <d v="2014-01-31T00:00:00"/>
    <d v="2022-06-30T00:00:00"/>
    <n v="273.95800000000003"/>
    <n v="85.296999999999997"/>
    <n v="359.255"/>
    <n v="0"/>
    <n v="7.2691137440000002"/>
    <n v="79.964761226999997"/>
    <n v="87.233874970999992"/>
    <n v="0"/>
    <n v="0"/>
    <n v="0"/>
    <n v="0"/>
    <n v="0"/>
    <n v="0"/>
    <n v="0"/>
    <n v="0"/>
    <n v="0"/>
  </r>
  <r>
    <s v="9"/>
    <s v="1096 Support to Computerised Driving Permits"/>
    <e v="#NAME?"/>
    <s v="1096 Support to Computerised Driving Permits"/>
    <s v="04"/>
    <s v="Works and Transport"/>
    <s v="016"/>
    <x v="3"/>
    <x v="3"/>
    <s v="1096"/>
    <s v="Support to Computerised Driving Permits"/>
    <x v="0"/>
    <d v="2013-07-01T00:00:00"/>
    <d v="2022-06-30T00:00:00"/>
    <n v="119.57"/>
    <m/>
    <n v="119.57"/>
    <n v="0"/>
    <n v="29.2"/>
    <n v="0"/>
    <n v="29.2"/>
    <n v="0"/>
    <n v="0"/>
    <n v="0"/>
    <n v="0"/>
    <n v="0"/>
    <n v="0"/>
    <n v="0"/>
    <n v="0"/>
    <n v="0"/>
  </r>
  <r>
    <s v="10"/>
    <s v="1097 New Standard Gauge Railway Line"/>
    <e v="#NAME?"/>
    <s v="1097 New Standard Gauge Railway Line"/>
    <s v="04"/>
    <s v="Works and Transport"/>
    <s v="016"/>
    <x v="4"/>
    <x v="4"/>
    <s v="1097"/>
    <s v="New Standard Gauge Railway Line"/>
    <x v="0"/>
    <d v="2013-07-01T00:00:00"/>
    <d v="2022-06-30T00:00:00"/>
    <n v="1470.2912595360001"/>
    <n v="8674.0786399999997"/>
    <n v="10144.369899535999"/>
    <n v="0"/>
    <n v="19"/>
    <n v="0"/>
    <n v="19"/>
    <n v="0"/>
    <n v="0"/>
    <n v="0"/>
    <n v="0"/>
    <n v="0"/>
    <n v="0"/>
    <n v="0"/>
    <n v="0"/>
    <n v="0"/>
  </r>
  <r>
    <s v="11"/>
    <s v="1143 Isimba HPP"/>
    <e v="#NAME?"/>
    <s v="1143 Isimba HPP"/>
    <s v="03"/>
    <s v="Energy and Mineral Development"/>
    <s v="017"/>
    <x v="5"/>
    <x v="5"/>
    <s v="1143"/>
    <s v="Isimba HPP"/>
    <x v="0"/>
    <d v="2012-07-01T00:00:00"/>
    <d v="2022-06-30T00:00:00"/>
    <n v="264"/>
    <n v="1499.3999999999999"/>
    <n v="1763.3999999999999"/>
    <n v="0"/>
    <n v="18.559999999999999"/>
    <n v="110.71"/>
    <n v="129.26999999999998"/>
    <n v="0"/>
    <n v="0"/>
    <n v="0"/>
    <n v="0"/>
    <n v="0"/>
    <n v="0"/>
    <n v="0"/>
    <n v="0"/>
    <n v="0"/>
  </r>
  <r>
    <s v="12"/>
    <s v="1176 Hoima-Wanseko Road (83Km)"/>
    <e v="#NAME?"/>
    <s v="1176 Hoima-Wanseko Road (83Km)"/>
    <s v="04"/>
    <s v="Works and Transport"/>
    <s v="113"/>
    <x v="1"/>
    <x v="1"/>
    <s v="1176"/>
    <s v="Hoima-Wanseko Road (83Km)"/>
    <x v="0"/>
    <d v="2011-11-30T00:00:00"/>
    <d v="2022-06-30T00:00:00"/>
    <n v="76.534999999999997"/>
    <n v="330"/>
    <n v="406.53499999999997"/>
    <n v="83.304597756999996"/>
    <n v="156.208680937"/>
    <n v="561.12125669500006"/>
    <n v="717.32993763200011"/>
    <n v="0"/>
    <n v="0"/>
    <n v="0"/>
    <n v="0"/>
    <n v="0"/>
    <n v="0"/>
    <n v="0"/>
    <n v="0"/>
    <n v="0"/>
  </r>
  <r>
    <s v="13"/>
    <s v="1183 Karuma Hydoelectricity Power Project"/>
    <e v="#NAME?"/>
    <s v="1183 Karuma Hydoelectricity Power Project"/>
    <s v="03"/>
    <s v="Energy and Mineral Development"/>
    <s v="017"/>
    <x v="5"/>
    <x v="5"/>
    <s v="1183"/>
    <s v="Karuma Hydoelectricity Power Project"/>
    <x v="0"/>
    <d v="2011-12-16T00:00:00"/>
    <d v="2022-06-30T00:00:00"/>
    <n v="2292.1"/>
    <n v="3586.92"/>
    <n v="5879.02"/>
    <n v="0"/>
    <n v="31"/>
    <n v="0"/>
    <n v="31"/>
    <n v="0"/>
    <n v="0"/>
    <n v="0"/>
    <n v="0"/>
    <n v="0"/>
    <n v="0"/>
    <n v="0"/>
    <n v="0"/>
    <n v="0"/>
  </r>
  <r>
    <s v="14"/>
    <s v="1184 Construction of Oil Refinery"/>
    <e v="#NAME?"/>
    <s v="1184 Construction of Oil Refinery"/>
    <s v="03"/>
    <s v="Energy and Mineral Development"/>
    <s v="017"/>
    <x v="6"/>
    <x v="6"/>
    <s v="1184"/>
    <s v="Construction of Oil Refinery"/>
    <x v="0"/>
    <d v="2013-07-01T00:00:00"/>
    <d v="2022-06-30T00:00:00"/>
    <n v="67"/>
    <m/>
    <n v="67"/>
    <n v="0"/>
    <n v="6.41"/>
    <n v="0"/>
    <n v="6.41"/>
    <n v="0"/>
    <n v="0"/>
    <n v="0"/>
    <n v="0"/>
    <n v="0"/>
    <n v="0"/>
    <n v="0"/>
    <n v="0"/>
    <n v="0"/>
  </r>
  <r>
    <s v="15"/>
    <s v="1221 Opuyo Moroto Interconnection Project"/>
    <e v="#NAME?"/>
    <s v="1221 Opuyo Moroto Interconnection Project"/>
    <s v="03"/>
    <s v="Energy and Mineral Development"/>
    <s v="017"/>
    <x v="5"/>
    <x v="5"/>
    <s v="1221"/>
    <s v="Opuyo Moroto Interconnection Project"/>
    <x v="0"/>
    <d v="2012-05-01T00:00:00"/>
    <d v="2022-06-30T00:00:00"/>
    <n v="24.93"/>
    <n v="204.22"/>
    <n v="229.15"/>
    <n v="0"/>
    <n v="1.5"/>
    <n v="0"/>
    <n v="1.5"/>
    <n v="0"/>
    <n v="0"/>
    <n v="0"/>
    <n v="0"/>
    <n v="0"/>
    <n v="0"/>
    <n v="0"/>
    <n v="0"/>
    <n v="0"/>
  </r>
  <r>
    <s v="16"/>
    <s v="1241 Development of Uganda Petroleum Institute Kigumba"/>
    <e v="#NAME?"/>
    <s v="1241 Development of Uganda Petroleum Institute Kigumba"/>
    <s v="07"/>
    <s v="Education"/>
    <s v="013"/>
    <x v="0"/>
    <x v="0"/>
    <s v="1241"/>
    <s v="Development of Uganda Petroleum Institute Kigumba"/>
    <x v="0"/>
    <d v="2015-07-01T00:00:00"/>
    <d v="2022-06-30T00:00:00"/>
    <n v="50.194000000000003"/>
    <m/>
    <n v="50.194000000000003"/>
    <n v="4.0599999999999996"/>
    <n v="14.06"/>
    <n v="0"/>
    <n v="14.06"/>
    <n v="0"/>
    <n v="0"/>
    <n v="0"/>
    <n v="0"/>
    <n v="0"/>
    <n v="0"/>
    <n v="0"/>
    <n v="0"/>
    <n v="0"/>
  </r>
  <r>
    <s v="17"/>
    <s v="1242 Construction of the JLOS House"/>
    <e v="#NAME?"/>
    <s v="1242 Construction of the JLOS House"/>
    <s v="12"/>
    <s v="Justice, Law and Order"/>
    <s v="007"/>
    <x v="7"/>
    <x v="7"/>
    <s v="1242"/>
    <s v="Construction of the JLOS House"/>
    <x v="0"/>
    <d v="2012-07-01T00:00:00"/>
    <d v="2022-06-30T00:00:00"/>
    <n v="420"/>
    <m/>
    <n v="420"/>
    <n v="0"/>
    <n v="64.8"/>
    <n v="0"/>
    <n v="64.8"/>
    <n v="0"/>
    <n v="0"/>
    <n v="0"/>
    <n v="0"/>
    <n v="0"/>
    <m/>
    <n v="0"/>
    <n v="0"/>
    <n v="0"/>
  </r>
  <r>
    <s v="18"/>
    <s v="1243 Rehabilitation and Construction of General Hospitals"/>
    <e v="#NAME?"/>
    <s v="1243 Rehabilitation and Construction of General Hospitals"/>
    <s v="08"/>
    <s v="Health"/>
    <s v="014"/>
    <x v="0"/>
    <x v="0"/>
    <s v="1243"/>
    <s v="Rehabilitation and Construction of General Hospitals"/>
    <x v="0"/>
    <d v="2012-07-01T00:00:00"/>
    <d v="2022-06-30T00:00:00"/>
    <n v="112"/>
    <m/>
    <n v="112"/>
    <n v="0"/>
    <n v="3.84"/>
    <n v="9.2899999999999991"/>
    <n v="13.129999999999999"/>
    <n v="0"/>
    <n v="0"/>
    <n v="0"/>
    <n v="0"/>
    <n v="0"/>
    <n v="0"/>
    <n v="0"/>
    <n v="0"/>
    <n v="0"/>
  </r>
  <r>
    <s v="19"/>
    <s v="1259 Kampala-Entebbe Expansion Project"/>
    <e v="#NAME?"/>
    <s v="1259 Kampala-Entebbe Expansion Project"/>
    <s v="03"/>
    <s v="Energy and Mineral Development"/>
    <s v="017"/>
    <x v="5"/>
    <x v="5"/>
    <s v="1259"/>
    <s v="Kampala-Entebbe Expansion Project"/>
    <x v="0"/>
    <d v="2013-07-01T00:00:00"/>
    <d v="2022-06-30T00:00:00"/>
    <n v="88.7"/>
    <n v="70.97"/>
    <n v="159.67000000000002"/>
    <n v="0"/>
    <n v="6.6"/>
    <n v="7.69"/>
    <n v="14.29"/>
    <n v="0"/>
    <n v="0"/>
    <n v="0"/>
    <n v="0"/>
    <n v="0"/>
    <n v="0"/>
    <n v="0"/>
    <n v="0"/>
    <n v="0"/>
  </r>
  <r>
    <s v="20"/>
    <s v="1262 Rural Electrification Project"/>
    <e v="#NAME?"/>
    <s v="1262 Rural Electrification Project"/>
    <s v="03"/>
    <s v="Energy and Mineral Development"/>
    <s v="123"/>
    <x v="5"/>
    <x v="5"/>
    <s v="1262"/>
    <s v="Rural Electrification Project"/>
    <x v="0"/>
    <d v="2013-07-01T00:00:00"/>
    <d v="2023-06-30T00:00:00"/>
    <n v="156.39500000000001"/>
    <m/>
    <n v="156.39500000000001"/>
    <n v="0"/>
    <n v="221.14"/>
    <n v="18.5"/>
    <n v="239.64"/>
    <n v="128.13999999999999"/>
    <n v="3.7"/>
    <n v="131.83999999999997"/>
    <n v="0"/>
    <n v="0"/>
    <n v="0"/>
    <n v="0"/>
    <n v="0"/>
    <n v="0"/>
  </r>
  <r>
    <s v="21"/>
    <s v="1274 Musita-Lumino-Busia/Majanji Road"/>
    <e v="#NAME?"/>
    <s v="1274 Musita-Lumino-Busia/Majanji Road"/>
    <s v="04"/>
    <s v="Works and Transport"/>
    <s v="113"/>
    <x v="1"/>
    <x v="1"/>
    <s v="1274"/>
    <s v="Musita-Lumino-Busia/Majanji Road"/>
    <x v="0"/>
    <d v="2017-07-01T00:00:00"/>
    <d v="2022-06-30T00:00:00"/>
    <n v="350.142"/>
    <m/>
    <n v="350.142"/>
    <n v="22.07616664"/>
    <n v="40.676166639999998"/>
    <n v="0"/>
    <n v="40.676166639999998"/>
    <n v="27.9"/>
    <n v="0"/>
    <n v="27.9"/>
    <n v="0"/>
    <n v="0"/>
    <n v="0"/>
    <n v="0"/>
    <n v="0"/>
    <n v="0"/>
  </r>
  <r>
    <s v="22"/>
    <s v="1275 Olwiyo-Gulu-Kitgum Road"/>
    <e v="#NAME?"/>
    <s v="1275 Olwiyo-Gulu-Kitgum Road"/>
    <s v="04"/>
    <s v="Works and Transport"/>
    <s v="113"/>
    <x v="1"/>
    <x v="1"/>
    <s v="1275"/>
    <s v="Olwiyo-Gulu-Kitgum Road"/>
    <x v="0"/>
    <d v="2014-03-31T00:00:00"/>
    <d v="2022-06-30T00:00:00"/>
    <n v="587.60900000000004"/>
    <m/>
    <n v="587.60900000000004"/>
    <n v="10.84957942"/>
    <n v="54.473733328999998"/>
    <n v="0"/>
    <n v="54.473733328999998"/>
    <n v="0"/>
    <n v="0"/>
    <n v="0"/>
    <n v="0"/>
    <n v="0"/>
    <n v="0"/>
    <n v="0"/>
    <n v="0"/>
    <n v="0"/>
  </r>
  <r>
    <s v="23"/>
    <s v="1276 Mubende-Kakumiro-Kagadi Road"/>
    <e v="#NAME?"/>
    <s v="1276 Mubende-Kakumiro-Kagadi Road"/>
    <s v="04"/>
    <s v="Works and Transport"/>
    <s v="113"/>
    <x v="1"/>
    <x v="1"/>
    <s v="1276"/>
    <s v="Mubende-Kakumiro-Kagadi Road"/>
    <x v="0"/>
    <d v="2014-03-31T00:00:00"/>
    <d v="2022-06-30T00:00:00"/>
    <n v="486.06900000000002"/>
    <m/>
    <n v="486.06900000000002"/>
    <n v="41.501567440000002"/>
    <n v="43.933567439999997"/>
    <n v="0"/>
    <n v="43.933567439999997"/>
    <n v="0"/>
    <n v="0"/>
    <n v="0"/>
    <n v="0"/>
    <n v="0"/>
    <n v="0"/>
    <n v="0"/>
    <n v="0"/>
    <n v="0"/>
  </r>
  <r>
    <s v="24"/>
    <s v="1277 Kampala Northern Bypass Phase 2"/>
    <e v="#NAME?"/>
    <s v="1277 Kampala Northern Bypass Phase 2"/>
    <s v="04"/>
    <s v="Works and Transport"/>
    <s v="113"/>
    <x v="1"/>
    <x v="1"/>
    <s v="1277"/>
    <s v="Kampala Northern Bypass Phase 2"/>
    <x v="0"/>
    <d v="2014-03-31T00:00:00"/>
    <d v="2023-06-30T00:00:00"/>
    <n v="415.63"/>
    <n v="12"/>
    <n v="427.63"/>
    <n v="50.238770926000001"/>
    <n v="84.123170926"/>
    <n v="0"/>
    <n v="84.123170926"/>
    <n v="0.75600000000000001"/>
    <n v="0"/>
    <n v="0.75600000000000001"/>
    <n v="0"/>
    <n v="0"/>
    <n v="0"/>
    <n v="0"/>
    <n v="0"/>
    <n v="0"/>
  </r>
  <r>
    <s v="25"/>
    <s v="1279 Seeta-Kyaliwajjala-Matugga-Wakiso-Buloba-Nsangi"/>
    <e v="#NAME?"/>
    <s v="1279 Seeta-Kyaliwajjala-Matugga-Wakiso-Buloba-Nsangi"/>
    <s v="04"/>
    <s v="Works and Transport"/>
    <s v="113"/>
    <x v="1"/>
    <x v="1"/>
    <s v="1279"/>
    <s v="Seeta-Kyaliwajjala-Matugga-Wakiso-Buloba-Nsangi"/>
    <x v="0"/>
    <d v="2014-02-01T00:00:00"/>
    <d v="2024-06-30T00:00:00"/>
    <n v="120"/>
    <m/>
    <n v="120"/>
    <n v="0"/>
    <n v="86.666666665999998"/>
    <n v="0"/>
    <n v="86.666666665999998"/>
    <n v="70"/>
    <n v="0"/>
    <n v="70"/>
    <n v="70"/>
    <n v="0"/>
    <n v="70"/>
    <n v="0"/>
    <n v="0"/>
    <n v="0"/>
  </r>
  <r>
    <s v="26"/>
    <s v="1280 Najjanankumbi-Busabala Road and Nambole-Namilyango-Seeta"/>
    <e v="#NAME?"/>
    <s v="1280 Najjanankumbi-Busabala Road and Nambole-Namilyango-Seeta"/>
    <s v="04"/>
    <s v="Works and Transport"/>
    <s v="113"/>
    <x v="1"/>
    <x v="1"/>
    <s v="1280"/>
    <s v="Najjanankumbi-Busabala Road and Nambole-Namilyango-Seeta"/>
    <x v="0"/>
    <d v="2014-02-02T00:00:00"/>
    <d v="2023-06-30T00:00:00"/>
    <n v="80"/>
    <m/>
    <n v="80"/>
    <n v="0"/>
    <n v="95"/>
    <n v="0"/>
    <n v="95"/>
    <n v="90"/>
    <n v="0"/>
    <n v="90"/>
    <n v="0"/>
    <n v="0"/>
    <n v="0"/>
    <n v="0"/>
    <n v="0"/>
    <n v="0"/>
  </r>
  <r>
    <s v="27"/>
    <s v="1281 Tirinyi-Pallisa-Kumi/Kamonkoli Road"/>
    <e v="#NAME?"/>
    <s v="1281 Tirinyi-Pallisa-Kumi/Kamonkoli Road"/>
    <s v="04"/>
    <s v="Works and Transport"/>
    <s v="113"/>
    <x v="1"/>
    <x v="1"/>
    <s v="1281"/>
    <s v="Tirinyi-Pallisa-Kumi/Kamonkoli Road"/>
    <x v="0"/>
    <d v="2014-03-31T00:00:00"/>
    <d v="2022-06-30T00:00:00"/>
    <n v="156.58600000000001"/>
    <m/>
    <n v="156.58600000000001"/>
    <n v="0"/>
    <n v="15.681624615"/>
    <n v="43.932000000000002"/>
    <n v="59.613624615000006"/>
    <n v="0"/>
    <n v="0"/>
    <n v="0"/>
    <n v="0"/>
    <n v="0"/>
    <n v="0"/>
    <n v="0"/>
    <n v="0"/>
    <n v="0"/>
  </r>
  <r>
    <s v="28"/>
    <s v="1284 Development of new Kampala Port in Bukasa"/>
    <e v="#NAME?"/>
    <s v="1284 Development of new Kampala Port in Bukasa"/>
    <s v="04"/>
    <s v="Works and Transport"/>
    <s v="016"/>
    <x v="1"/>
    <x v="1"/>
    <s v="1284"/>
    <s v="Development of new Kampala Port in Bukasa"/>
    <x v="0"/>
    <d v="2013-07-01T00:00:00"/>
    <d v="2022-06-30T00:00:00"/>
    <n v="140.80000000000001"/>
    <n v="178"/>
    <n v="318.8"/>
    <n v="0"/>
    <n v="5.31"/>
    <n v="1.0029999999999999"/>
    <n v="6.3129999999999997"/>
    <n v="0"/>
    <n v="0"/>
    <n v="0"/>
    <n v="0"/>
    <n v="0"/>
    <n v="0"/>
    <n v="0"/>
    <n v="0"/>
    <n v="0"/>
  </r>
  <r>
    <s v="29"/>
    <s v="1289 Competitiveness and Enterprise Development Project [CEDP] -012"/>
    <e v="#NAME?"/>
    <s v="1289 Competitiveness and Enterprise Development Project [CEDP] -012"/>
    <s v="02"/>
    <s v="Lands, Housing and Urban Development"/>
    <s v="012"/>
    <x v="8"/>
    <x v="8"/>
    <s v="1289"/>
    <s v="Competitiveness and Enterprise Development Project [CEDP]"/>
    <x v="0"/>
    <d v="2014-01-07T00:00:00"/>
    <d v="2022-06-30T00:00:00"/>
    <n v="32.72"/>
    <n v="402.47489999999999"/>
    <n v="435.19489999999996"/>
    <n v="0"/>
    <n v="3.67"/>
    <n v="55.04"/>
    <n v="58.71"/>
    <n v="0"/>
    <n v="0"/>
    <n v="0"/>
    <n v="0"/>
    <n v="0"/>
    <n v="0"/>
    <n v="0"/>
    <n v="0"/>
    <n v="0"/>
  </r>
  <r>
    <s v="30"/>
    <s v="1308 Development and Improvement of Special Needs Education (SNE)"/>
    <e v="#NAME?"/>
    <s v="1308 Development and Improvement of Special Needs Education (SNE)"/>
    <s v="07"/>
    <s v="Education"/>
    <s v="013"/>
    <x v="0"/>
    <x v="0"/>
    <s v="1308"/>
    <s v="Development and Improvement of Special Needs Education (SNE)"/>
    <x v="0"/>
    <d v="2014-07-01T00:00:00"/>
    <d v="2022-06-30T00:00:00"/>
    <n v="10.220000000000001"/>
    <m/>
    <n v="10.220000000000001"/>
    <n v="0"/>
    <n v="2.7"/>
    <n v="0"/>
    <n v="2.7"/>
    <n v="0"/>
    <n v="0"/>
    <n v="0"/>
    <n v="0"/>
    <n v="0"/>
    <n v="0"/>
    <n v="0"/>
    <n v="0"/>
    <n v="0"/>
  </r>
  <r>
    <s v="31"/>
    <s v="1310 Albertine Region Sustainable Development Project -012"/>
    <e v="#NAME?"/>
    <s v="1310 Albertine Region Sustainable Development Project -012"/>
    <s v="02"/>
    <s v="Lands, Housing and Urban Development"/>
    <s v="012"/>
    <x v="9"/>
    <x v="9"/>
    <s v="1310"/>
    <s v="Albertine Region Sustainable Development Project"/>
    <x v="0"/>
    <d v="2014-01-07T00:00:00"/>
    <d v="2022-06-30T00:00:00"/>
    <n v="79.724000000000004"/>
    <n v="93.424999999999997"/>
    <n v="173.149"/>
    <n v="0"/>
    <n v="0"/>
    <n v="0"/>
    <n v="0"/>
    <n v="0"/>
    <n v="0"/>
    <n v="0"/>
    <n v="0"/>
    <n v="0"/>
    <n v="0"/>
    <n v="0"/>
    <n v="0"/>
    <n v="0"/>
  </r>
  <r>
    <s v="32"/>
    <s v="1310 Albertine Region Sustainable Development Project -013"/>
    <e v="#NAME?"/>
    <s v="1310 Albertine Region Sustainable Development Project -013"/>
    <s v="07"/>
    <s v="Education"/>
    <s v="013"/>
    <x v="0"/>
    <x v="0"/>
    <s v="1310"/>
    <s v="Albertine Region Sustainable Development Project"/>
    <x v="0"/>
    <d v="2014-07-01T00:00:00"/>
    <d v="2022-06-30T00:00:00"/>
    <n v="8.6229999999999993"/>
    <n v="61.3"/>
    <n v="69.923000000000002"/>
    <n v="0"/>
    <n v="0.83875629500000004"/>
    <n v="17.76495375"/>
    <n v="18.603710045"/>
    <n v="0"/>
    <n v="0"/>
    <n v="0"/>
    <n v="0"/>
    <n v="0"/>
    <n v="0"/>
    <n v="0"/>
    <n v="0"/>
    <n v="0"/>
  </r>
  <r>
    <s v="33"/>
    <s v="1310 Albertine Region Sustainable Development Project -113"/>
    <e v="#NAME?"/>
    <s v="1310 Albertine Region Sustainable Development Project -113"/>
    <s v="04"/>
    <s v="Works and Transport"/>
    <s v="113"/>
    <x v="1"/>
    <x v="1"/>
    <s v="1310"/>
    <s v="Albertine Region Sustainable Development Project"/>
    <x v="0"/>
    <d v="2014-07-01T00:00:00"/>
    <d v="2022-06-30T00:00:00"/>
    <n v="79.724000000000004"/>
    <n v="28.128"/>
    <n v="107.852"/>
    <n v="0"/>
    <n v="0"/>
    <n v="0"/>
    <n v="0"/>
    <n v="0"/>
    <n v="0"/>
    <n v="0"/>
    <n v="0"/>
    <n v="0"/>
    <n v="0"/>
    <n v="0"/>
    <n v="0"/>
    <n v="0"/>
  </r>
  <r>
    <s v="34"/>
    <s v="1311 Upgrading Rukungiri-Kihihi-Ishasha/Kanungu Road"/>
    <e v="#NAME?"/>
    <s v="1311 Upgrading Rukungiri-Kihihi-Ishasha/Kanungu Road"/>
    <s v="04"/>
    <s v="Works and Transport"/>
    <s v="113"/>
    <x v="1"/>
    <x v="1"/>
    <s v="1311"/>
    <s v="Upgrading Rukungiri-Kihihi-Ishasha/Kanungu Road"/>
    <x v="0"/>
    <d v="2014-07-01T00:00:00"/>
    <d v="2022-06-30T00:00:00"/>
    <n v="287"/>
    <n v="17.664999999999999"/>
    <n v="304.66500000000002"/>
    <n v="0"/>
    <n v="7.76"/>
    <n v="51.75"/>
    <n v="59.51"/>
    <n v="0"/>
    <n v="0"/>
    <n v="0"/>
    <n v="0"/>
    <n v="0"/>
    <n v="0"/>
    <n v="0"/>
    <n v="0"/>
    <n v="0"/>
  </r>
  <r>
    <s v="35"/>
    <s v="1312 Upgrading Mbale-Bubulo-Lwakhakha Road"/>
    <e v="#NAME?"/>
    <s v="1312 Upgrading Mbale-Bubulo-Lwakhakha Road"/>
    <s v="04"/>
    <s v="Works and Transport"/>
    <s v="113"/>
    <x v="1"/>
    <x v="1"/>
    <s v="1312"/>
    <s v="Upgrading Mbale-Bubulo-Lwakhakha Road"/>
    <x v="0"/>
    <d v="2014-07-01T00:00:00"/>
    <d v="2022-06-30T00:00:00"/>
    <n v="48.854999999999997"/>
    <n v="16.600000000000001"/>
    <n v="65.454999999999998"/>
    <n v="0"/>
    <n v="0"/>
    <n v="0"/>
    <n v="0"/>
    <n v="0"/>
    <n v="0"/>
    <n v="0"/>
    <n v="0"/>
    <n v="0"/>
    <n v="0"/>
    <n v="0"/>
    <n v="0"/>
    <n v="0"/>
  </r>
  <r>
    <s v="36"/>
    <s v="1313 North Eastern Road-Corridor Asset Management Project"/>
    <e v="#NAME?"/>
    <s v="1313 North Eastern Road-Corridor Asset Management Project"/>
    <s v="04"/>
    <s v="Works and Transport"/>
    <s v="113"/>
    <x v="1"/>
    <x v="1"/>
    <s v="1313"/>
    <s v="North Eastern Road-Corridor Asset Management Project"/>
    <x v="0"/>
    <d v="2014-07-01T00:00:00"/>
    <d v="2024-06-30T00:00:00"/>
    <n v="5.01"/>
    <n v="267.589"/>
    <n v="272.59899999999999"/>
    <n v="0"/>
    <n v="0"/>
    <n v="165.28"/>
    <n v="165.28"/>
    <n v="0"/>
    <n v="162.56"/>
    <n v="162.56"/>
    <n v="0"/>
    <n v="92.85"/>
    <n v="92.85"/>
    <n v="0"/>
    <n v="0"/>
    <n v="0"/>
  </r>
  <r>
    <s v="37"/>
    <s v="1319 Kampala Flyover"/>
    <e v="#NAME?"/>
    <s v="1319 Kampala Flyover"/>
    <s v="04"/>
    <s v="Works and Transport"/>
    <s v="113"/>
    <x v="1"/>
    <x v="1"/>
    <s v="1319"/>
    <s v="Kampala Flyover"/>
    <x v="0"/>
    <d v="2015-07-01T00:00:00"/>
    <d v="2024-12-30T00:00:00"/>
    <n v="180"/>
    <n v="720"/>
    <n v="900"/>
    <n v="4.2592233799999999"/>
    <n v="61.289223380000003"/>
    <n v="187.1"/>
    <n v="248.38922338"/>
    <n v="57.03"/>
    <n v="337.12"/>
    <n v="394.15"/>
    <n v="5.7030000000000003"/>
    <n v="399.6"/>
    <n v="405.303"/>
    <n v="0"/>
    <n v="0"/>
    <n v="0"/>
  </r>
  <r>
    <s v="38"/>
    <s v="1320  Construction of 66 Selected Bridges"/>
    <e v="#NAME?"/>
    <s v="1320  Construction of 66 Selected Bridges"/>
    <s v="04"/>
    <s v="Works and Transport"/>
    <s v="113"/>
    <x v="1"/>
    <x v="1"/>
    <s v="1320"/>
    <s v=" Construction of 66 Selected Bridges"/>
    <x v="0"/>
    <d v="2015-07-01T00:00:00"/>
    <d v="2023-06-30T00:00:00"/>
    <n v="234.3"/>
    <m/>
    <n v="234.3"/>
    <n v="29.626560801"/>
    <n v="203.56156080100001"/>
    <n v="0"/>
    <n v="203.56156080100001"/>
    <n v="124.54505"/>
    <n v="0"/>
    <n v="124.54505"/>
    <n v="0"/>
    <n v="0"/>
    <n v="0"/>
    <n v="0"/>
    <n v="0"/>
    <n v="0"/>
  </r>
  <r>
    <s v="39"/>
    <s v="1322 Upgrading of Muyembe-Nakapiripirit (92 km)"/>
    <e v="#NAME?"/>
    <s v="1322 Upgrading of Muyembe-Nakapiripirit (92 km)"/>
    <s v="04"/>
    <s v="Works and Transport"/>
    <s v="113"/>
    <x v="1"/>
    <x v="1"/>
    <s v="1322"/>
    <s v="Upgrading of Muyembe-Nakapiripirit (92 km)"/>
    <x v="0"/>
    <d v="2015-07-01T00:00:00"/>
    <d v="2024-06-30T00:00:00"/>
    <n v="61.956000000000003"/>
    <n v="378.62"/>
    <n v="440.57600000000002"/>
    <n v="0"/>
    <n v="0.1"/>
    <n v="90"/>
    <n v="90.1"/>
    <n v="0.02"/>
    <n v="45"/>
    <n v="45.02"/>
    <n v="0"/>
    <n v="0"/>
    <n v="0"/>
    <n v="0"/>
    <n v="0"/>
    <n v="0"/>
  </r>
  <r>
    <s v="40"/>
    <s v="1338 Skills Development Project -013"/>
    <e v="#NAME?"/>
    <s v="1338 Skills Development Project -013"/>
    <s v="07"/>
    <s v="Education"/>
    <s v="013"/>
    <x v="8"/>
    <x v="8"/>
    <s v="1338"/>
    <s v="Skills Development Project"/>
    <x v="0"/>
    <d v="2015-07-01T00:00:00"/>
    <d v="2022-06-30T00:00:00"/>
    <n v="5.1820000000000004"/>
    <n v="246"/>
    <n v="251.18199999999999"/>
    <n v="0"/>
    <n v="0"/>
    <n v="89.938286250000004"/>
    <n v="89.938286250000004"/>
    <n v="0"/>
    <n v="0"/>
    <n v="0"/>
    <n v="0"/>
    <n v="0"/>
    <n v="0"/>
    <n v="0"/>
    <n v="0"/>
    <n v="0"/>
  </r>
  <r>
    <s v="41"/>
    <s v="1339 Emergency Construction of Primary Schools Phase II  "/>
    <e v="#NAME?"/>
    <s v="1339 Emergency Construction of Primary Schools Phase II  "/>
    <s v="07"/>
    <s v="Education"/>
    <s v="013"/>
    <x v="0"/>
    <x v="0"/>
    <s v="1339"/>
    <s v="Emergency Construction of Primary Schools Phase II  "/>
    <x v="0"/>
    <d v="2015-07-01T00:00:00"/>
    <d v="2022-06-30T00:00:00"/>
    <n v="8.8879999999999999"/>
    <m/>
    <n v="8.8879999999999999"/>
    <n v="2.803278594"/>
    <n v="13.783278594"/>
    <n v="0"/>
    <n v="13.783278594"/>
    <n v="0"/>
    <n v="0"/>
    <n v="0"/>
    <n v="0"/>
    <n v="0"/>
    <n v="0"/>
    <n v="0"/>
    <n v="0"/>
    <n v="0"/>
  </r>
  <r>
    <s v="42"/>
    <s v="1344 Renovation and Equipping of Kayunga and Yumbe General Hospitals"/>
    <e v="#NAME?"/>
    <s v="1344 Renovation and Equipping of Kayunga and Yumbe General Hospitals"/>
    <s v="08"/>
    <s v="Health"/>
    <s v="014"/>
    <x v="0"/>
    <x v="0"/>
    <s v="1344"/>
    <s v="Renovation and Equipping of Kayunga and Yumbe General Hospitals"/>
    <x v="0"/>
    <d v="2015-07-01T00:00:00"/>
    <d v="2022-06-30T00:00:00"/>
    <n v="19.899999999999999"/>
    <n v="132.4"/>
    <n v="152.30000000000001"/>
    <n v="0"/>
    <n v="1.579"/>
    <n v="3.3954"/>
    <n v="4.9744000000000002"/>
    <n v="0"/>
    <n v="0"/>
    <n v="0"/>
    <n v="0"/>
    <n v="0"/>
    <n v="0"/>
    <n v="0"/>
    <n v="0"/>
    <n v="0"/>
  </r>
  <r>
    <s v="43"/>
    <s v="1350 Muzizi Hydro Power Project"/>
    <e v="#NAME?"/>
    <s v="1350 Muzizi Hydro Power Project"/>
    <s v="03"/>
    <s v="Energy and Mineral Development"/>
    <s v="017"/>
    <x v="5"/>
    <x v="5"/>
    <s v="1350"/>
    <s v="Muzizi Hydro Power Project"/>
    <x v="0"/>
    <d v="2015-12-16T00:00:00"/>
    <d v="2022-06-30T00:00:00"/>
    <n v="76.67"/>
    <n v="365.38600000000002"/>
    <n v="442.05600000000004"/>
    <n v="0"/>
    <n v="2.5169999999999999"/>
    <n v="15.39"/>
    <n v="17.907"/>
    <n v="0"/>
    <n v="0"/>
    <n v="0"/>
    <n v="0"/>
    <n v="0"/>
    <n v="0"/>
    <n v="0"/>
    <n v="0"/>
    <n v="0"/>
  </r>
  <r>
    <s v="44"/>
    <s v="1351 Nyagak III Hydro Power Project"/>
    <e v="#NAME?"/>
    <s v="1351 Nyagak III Hydro Power Project"/>
    <s v="03"/>
    <s v="Energy and Mineral Development"/>
    <s v="017"/>
    <x v="5"/>
    <x v="5"/>
    <s v="1351"/>
    <s v="Nyagak III Hydro Power Project"/>
    <x v="0"/>
    <d v="2015-07-01T00:00:00"/>
    <d v="2022-06-30T00:00:00"/>
    <n v="67.150000000000006"/>
    <m/>
    <n v="67.150000000000006"/>
    <n v="0"/>
    <n v="12.293210999999999"/>
    <n v="0"/>
    <n v="12.293210999999999"/>
    <n v="0"/>
    <n v="0"/>
    <n v="0"/>
    <n v="0"/>
    <n v="0"/>
    <n v="0"/>
    <n v="0"/>
    <n v="0"/>
    <n v="0"/>
  </r>
  <r>
    <s v="45"/>
    <s v="1352 Midstream Petroleum Infrastructure Development Project"/>
    <e v="#NAME?"/>
    <s v="1352 Midstream Petroleum Infrastructure Development Project"/>
    <s v="03"/>
    <s v="Energy and Mineral Development"/>
    <s v="017"/>
    <x v="6"/>
    <x v="6"/>
    <s v="1352"/>
    <s v="Midstream Petroleum Infrastructure Development Project"/>
    <x v="0"/>
    <d v="2015-07-01T00:00:00"/>
    <d v="2022-06-30T00:00:00"/>
    <n v="570.96"/>
    <m/>
    <n v="570.96"/>
    <n v="0"/>
    <n v="5.51"/>
    <n v="0"/>
    <n v="5.51"/>
    <n v="0"/>
    <n v="0"/>
    <n v="0"/>
    <n v="0"/>
    <n v="0"/>
    <n v="0"/>
    <n v="0"/>
    <n v="0"/>
    <n v="0"/>
  </r>
  <r>
    <s v="46"/>
    <s v="1353 Mineral Wealth and Mining Infrastructure Development"/>
    <e v="#NAME?"/>
    <s v="1353 Mineral Wealth and Mining Infrastructure Development"/>
    <s v="03"/>
    <s v="Energy and Mineral Development"/>
    <s v="017"/>
    <x v="10"/>
    <x v="10"/>
    <s v="1353"/>
    <s v="Mineral Wealth and Mining Infrastructure Development"/>
    <x v="0"/>
    <d v="2015-07-01T00:00:00"/>
    <d v="2022-06-30T00:00:00"/>
    <n v="41.317999999999998"/>
    <m/>
    <n v="41.317999999999998"/>
    <n v="0"/>
    <n v="13.354378000000001"/>
    <n v="0"/>
    <n v="13.354378000000001"/>
    <n v="0"/>
    <n v="0"/>
    <n v="0"/>
    <n v="0"/>
    <n v="0"/>
    <n v="0"/>
    <n v="0"/>
    <n v="0"/>
    <n v="0"/>
  </r>
  <r>
    <s v="47"/>
    <s v="1355 Strengthening the Development and Production Phases of Oil and Gas Sector"/>
    <e v="#NAME?"/>
    <s v="1355 Strengthening the Development and Production Phases of Oil and Gas Sector"/>
    <s v="03"/>
    <s v="Energy and Mineral Development"/>
    <s v="017"/>
    <x v="6"/>
    <x v="6"/>
    <s v="1355"/>
    <s v="Strengthening the Development and Production Phases of Oil and Gas Sector"/>
    <x v="0"/>
    <d v="2015-07-01T00:00:00"/>
    <d v="2022-06-30T00:00:00"/>
    <n v="115.10899999999999"/>
    <n v="22.667999999999999"/>
    <n v="137.77699999999999"/>
    <n v="0"/>
    <n v="8.5299999999999994"/>
    <n v="0"/>
    <n v="8.5299999999999994"/>
    <n v="0"/>
    <n v="0"/>
    <n v="0"/>
    <n v="0"/>
    <n v="0"/>
    <n v="0"/>
    <n v="0"/>
    <n v="0"/>
    <n v="0"/>
  </r>
  <r>
    <s v="48"/>
    <s v="1360 Markets and Agricultural Trade Improvements Programme (MATIP 2)"/>
    <e v="#NAME?"/>
    <s v="1360 Markets and Agricultural Trade Improvements Programme (MATIP 2)"/>
    <s v="20"/>
    <s v="Local Government"/>
    <s v="011"/>
    <x v="11"/>
    <x v="11"/>
    <s v="1360"/>
    <s v="Markets and Agricultural Trade Improvements Programme (MATIP 2)"/>
    <x v="0"/>
    <d v="2015-07-01T00:00:00"/>
    <d v="2022-06-30T00:00:00"/>
    <n v="328.05500000000001"/>
    <m/>
    <n v="328.05500000000001"/>
    <n v="0"/>
    <n v="2.2000000000000002"/>
    <n v="68.400000000000006"/>
    <n v="70.600000000000009"/>
    <n v="0"/>
    <n v="0"/>
    <n v="0"/>
    <n v="0"/>
    <n v="0"/>
    <m/>
    <n v="0"/>
    <n v="0"/>
    <n v="0"/>
  </r>
  <r>
    <s v="49"/>
    <s v="1373 Entebbe Airport Rehabilitation Phase 1"/>
    <e v="#NAME?"/>
    <s v="1373 Entebbe Airport Rehabilitation Phase 1"/>
    <s v="04"/>
    <s v="Works and Transport"/>
    <s v="016"/>
    <x v="1"/>
    <x v="1"/>
    <s v="1373"/>
    <s v="Entebbe Airport Rehabilitation Phase 1"/>
    <x v="0"/>
    <d v="2013-07-01T00:00:00"/>
    <d v="2022-06-30T00:00:00"/>
    <m/>
    <n v="750"/>
    <n v="750"/>
    <n v="0"/>
    <n v="0"/>
    <n v="117.943"/>
    <n v="117.943"/>
    <n v="0"/>
    <n v="0"/>
    <n v="0"/>
    <n v="0"/>
    <n v="0"/>
    <n v="0"/>
    <n v="0"/>
    <n v="0"/>
    <n v="0"/>
  </r>
  <r>
    <s v="50"/>
    <s v="1381 Restoration of Livelihoods in Northern Region (PRELNOR)"/>
    <e v="#NAME?"/>
    <s v="1381 Restoration of Livelihoods in Northern Region (PRELNOR)"/>
    <s v="20"/>
    <s v="Local Government"/>
    <s v="011"/>
    <x v="12"/>
    <x v="12"/>
    <s v="1381"/>
    <s v="Restoration of Livelihoods in Northern Region (PRELNOR)"/>
    <x v="0"/>
    <d v="2015-07-01T00:00:00"/>
    <d v="2022-06-30T00:00:00"/>
    <n v="248.15"/>
    <m/>
    <n v="248.15"/>
    <n v="0"/>
    <n v="13.409927981999999"/>
    <n v="37.9653226"/>
    <n v="51.375250582"/>
    <n v="0"/>
    <n v="0"/>
    <n v="0"/>
    <n v="0"/>
    <n v="0"/>
    <m/>
    <n v="0"/>
    <n v="0"/>
    <n v="0"/>
  </r>
  <r>
    <s v="51"/>
    <s v="1388 Mbale-Bulambuli (Atari) 132KV transmission line and Associated Substation"/>
    <e v="#NAME?"/>
    <s v="1388 Mbale-Bulambuli (Atari) 132KV transmission line and Associated Substation"/>
    <s v="03"/>
    <s v="Energy and Mineral Development"/>
    <s v="017"/>
    <x v="5"/>
    <x v="5"/>
    <s v="1388"/>
    <s v="Mbale-Bulambuli (Atari) 132KV transmission line and Associated Substation"/>
    <x v="0"/>
    <d v="2016-07-01T00:00:00"/>
    <d v="2022-06-30T00:00:00"/>
    <n v="17.334"/>
    <m/>
    <n v="17.334"/>
    <n v="0"/>
    <n v="5.34"/>
    <n v="7.69"/>
    <n v="13.030000000000001"/>
    <n v="0"/>
    <n v="0"/>
    <n v="0"/>
    <n v="0"/>
    <n v="0"/>
    <n v="0"/>
    <n v="0"/>
    <n v="0"/>
    <n v="0"/>
  </r>
  <r>
    <s v="52"/>
    <s v="1391 Lira-Gulu-Agago 132KV transmission project"/>
    <e v="#NAME?"/>
    <s v="1391 Lira-Gulu-Agago 132KV transmission project"/>
    <s v="03"/>
    <s v="Energy and Mineral Development"/>
    <s v="017"/>
    <x v="5"/>
    <x v="5"/>
    <s v="1391"/>
    <s v="Lira-Gulu-Agago 132KV transmission project"/>
    <x v="0"/>
    <d v="2016-07-01T00:00:00"/>
    <d v="2022-06-30T00:00:00"/>
    <n v="66"/>
    <m/>
    <n v="66"/>
    <n v="0"/>
    <n v="16.68"/>
    <n v="15.39"/>
    <n v="32.07"/>
    <n v="0"/>
    <n v="0"/>
    <n v="0"/>
    <n v="0"/>
    <n v="0"/>
    <n v="0"/>
    <n v="0"/>
    <n v="0"/>
    <n v="0"/>
  </r>
  <r>
    <s v="53"/>
    <s v="1402 Rwenkunye- Apac- Lira-Acholibur road"/>
    <e v="#NAME?"/>
    <s v="1402 Rwenkunye- Apac- Lira-Acholibur road"/>
    <s v="04"/>
    <s v="Works and Transport"/>
    <s v="113"/>
    <x v="1"/>
    <x v="1"/>
    <s v="1402"/>
    <s v="Rwenkunye- Apac- Lira-Acholibur road"/>
    <x v="0"/>
    <d v="2016-07-01T00:00:00"/>
    <d v="2025-06-30T00:00:00"/>
    <n v="113.898"/>
    <n v="542.68299999999999"/>
    <n v="656.58100000000002"/>
    <n v="0"/>
    <n v="0.25"/>
    <n v="0"/>
    <n v="0.25"/>
    <n v="0"/>
    <n v="0"/>
    <n v="0"/>
    <n v="0"/>
    <n v="0"/>
    <n v="0"/>
    <n v="0"/>
    <n v="0"/>
    <n v="0"/>
  </r>
  <r>
    <s v="54"/>
    <s v="1403 Soroti-Katakwi-Moroto-Lokitonyala road"/>
    <e v="#NAME?"/>
    <s v="1403 Soroti-Katakwi-Moroto-Lokitonyala road"/>
    <s v="04"/>
    <s v="Works and Transport"/>
    <s v="113"/>
    <x v="1"/>
    <x v="1"/>
    <s v="1403"/>
    <s v="Soroti-Katakwi-Moroto-Lokitonyala road"/>
    <x v="0"/>
    <d v="2016-07-01T00:00:00"/>
    <d v="2024-06-30T00:00:00"/>
    <n v="483.48"/>
    <n v="0"/>
    <n v="483.48"/>
    <n v="43.014777643000002"/>
    <n v="63.014777643000002"/>
    <n v="0"/>
    <n v="63.014777643000002"/>
    <n v="0"/>
    <n v="0"/>
    <n v="0"/>
    <n v="0"/>
    <n v="0"/>
    <n v="0"/>
    <n v="0"/>
    <n v="0"/>
    <n v="0"/>
  </r>
  <r>
    <s v="55"/>
    <s v="1404 Kibuye- Busega- Mpigi"/>
    <e v="#NAME?"/>
    <s v="1404 Kibuye- Busega- Mpigi"/>
    <s v="04"/>
    <s v="Works and Transport"/>
    <s v="113"/>
    <x v="1"/>
    <x v="1"/>
    <s v="1404"/>
    <s v="Kibuye- Busega- Mpigi"/>
    <x v="0"/>
    <d v="2016-07-01T00:00:00"/>
    <d v="2023-06-30T00:00:00"/>
    <n v="270"/>
    <n v="1288.8"/>
    <n v="1558.8"/>
    <n v="0"/>
    <n v="0.81108975000000005"/>
    <n v="113.776"/>
    <n v="114.58708974999999"/>
    <n v="0"/>
    <n v="284.44"/>
    <n v="284.44"/>
    <n v="0"/>
    <n v="0"/>
    <n v="0"/>
    <n v="0"/>
    <n v="0"/>
    <n v="0"/>
  </r>
  <r>
    <s v="56"/>
    <s v="1409 Mirama - Kabale 132kv Transmission Project"/>
    <e v="#NAME?"/>
    <s v="1409 Mirama - Kabale 132kv Transmission Project"/>
    <s v="03"/>
    <s v="Energy and Mineral Development"/>
    <s v="017"/>
    <x v="5"/>
    <x v="5"/>
    <s v="1409"/>
    <s v="Mirama - Kabale 132kv Transmission Project"/>
    <x v="0"/>
    <d v="2016-07-01T00:00:00"/>
    <d v="2022-06-30T00:00:00"/>
    <n v="27.375"/>
    <n v="209.375"/>
    <n v="236.75"/>
    <n v="0"/>
    <n v="5.27"/>
    <n v="15.39"/>
    <n v="20.66"/>
    <n v="0"/>
    <n v="0"/>
    <n v="0"/>
    <n v="0"/>
    <n v="0"/>
    <n v="0"/>
    <n v="0"/>
    <n v="0"/>
    <n v="0"/>
  </r>
  <r>
    <s v="57"/>
    <s v="1410 Skills for Oil and Gas Africa (SOGA)"/>
    <e v="#NAME?"/>
    <s v="1410 Skills for Oil and Gas Africa (SOGA)"/>
    <s v="03"/>
    <s v="Energy and Mineral Development"/>
    <s v="017"/>
    <x v="6"/>
    <x v="6"/>
    <s v="1410"/>
    <s v="Skills for Oil and Gas Africa (SOGA)"/>
    <x v="0"/>
    <d v="2016-07-01T00:00:00"/>
    <d v="2022-06-30T00:00:00"/>
    <n v="8.6999999999999993"/>
    <n v="41.3"/>
    <n v="50"/>
    <n v="0"/>
    <n v="3.07"/>
    <n v="0"/>
    <n v="3.07"/>
    <n v="0"/>
    <n v="0"/>
    <n v="0"/>
    <n v="0"/>
    <n v="0"/>
    <n v="0"/>
    <n v="0"/>
    <n v="0"/>
    <n v="0"/>
  </r>
  <r>
    <s v="58"/>
    <s v="1412 The Technical Vocational Education and Training (TVET-LEAD)"/>
    <e v="#NAME?"/>
    <s v="1412 The Technical Vocational Education and Training (TVET-LEAD)"/>
    <s v="07"/>
    <s v="Education"/>
    <s v="013"/>
    <x v="0"/>
    <x v="0"/>
    <s v="1412"/>
    <s v="The Technical Vocational Education and Training (TVET-LEAD)"/>
    <x v="0"/>
    <d v="2016-07-01T00:00:00"/>
    <d v="2022-06-30T00:00:00"/>
    <n v="4.9180000000000001"/>
    <n v="16.367999999999999"/>
    <n v="21.285999999999998"/>
    <n v="0"/>
    <n v="0"/>
    <n v="0"/>
    <n v="0"/>
    <n v="0"/>
    <n v="0"/>
    <n v="0"/>
    <n v="0"/>
    <n v="0"/>
    <n v="0"/>
    <n v="0"/>
    <n v="0"/>
    <n v="0"/>
  </r>
  <r>
    <s v="59"/>
    <s v="1419 Support to Soroti University Infrastructure Development"/>
    <e v="#NAME?"/>
    <s v="1419 Support to Soroti University Infrastructure Development"/>
    <s v="07"/>
    <s v="Education"/>
    <s v="308"/>
    <x v="0"/>
    <x v="0"/>
    <s v="1419"/>
    <s v="Support to Soroti University Infrastructure Development"/>
    <x v="0"/>
    <d v="2020-07-01T00:00:00"/>
    <d v="2025-06-30T00:00:00"/>
    <n v="42.35"/>
    <m/>
    <n v="42.35"/>
    <n v="0"/>
    <n v="15"/>
    <n v="0"/>
    <n v="15"/>
    <n v="13.335000000000001"/>
    <n v="0"/>
    <n v="13.335000000000001"/>
    <n v="9"/>
    <n v="0"/>
    <n v="9"/>
    <n v="0.91500000000000004"/>
    <n v="0"/>
    <n v="0.91500000000000004"/>
  </r>
  <r>
    <s v="60"/>
    <s v="1421 Development of the Construction Industry"/>
    <e v="#NAME?"/>
    <s v="1421 Development of the Construction Industry"/>
    <s v="04"/>
    <s v="Works and Transport"/>
    <s v="016"/>
    <x v="1"/>
    <x v="1"/>
    <s v="1421"/>
    <s v="Development of the Construction Industry"/>
    <x v="0"/>
    <d v="2016-07-01T00:00:00"/>
    <d v="2022-06-30T00:00:00"/>
    <n v="63"/>
    <m/>
    <n v="63"/>
    <n v="0"/>
    <n v="10.74"/>
    <n v="0"/>
    <n v="10.74"/>
    <n v="12"/>
    <n v="0"/>
    <n v="12"/>
    <n v="0"/>
    <n v="0"/>
    <n v="0"/>
    <n v="0"/>
    <n v="0"/>
    <n v="0"/>
  </r>
  <r>
    <s v="61"/>
    <s v="1426 Grid Expansion and Reinforcement Project -Lira, Gulu, Nebbi to Arua Transmission Line"/>
    <e v="#NAME?"/>
    <s v="1426 Grid Expansion and Reinforcement Project -Lira, Gulu, Nebbi to Arua Transmission Line"/>
    <s v="03"/>
    <s v="Energy and Mineral Development"/>
    <s v="017"/>
    <x v="5"/>
    <x v="5"/>
    <s v="1426"/>
    <s v="Grid Expansion and Reinforcement Project -Lira, Gulu, Nebbi to Arua Transmission Line"/>
    <x v="0"/>
    <d v="2016-07-01T00:00:00"/>
    <d v="2022-06-30T00:00:00"/>
    <n v="98.33"/>
    <n v="360.18"/>
    <n v="458.51"/>
    <n v="0"/>
    <n v="2.5"/>
    <n v="15.39"/>
    <n v="17.89"/>
    <n v="0"/>
    <n v="0"/>
    <n v="0"/>
    <n v="0"/>
    <n v="0"/>
    <n v="0"/>
    <n v="0"/>
    <n v="0"/>
    <n v="0"/>
  </r>
  <r>
    <s v="62"/>
    <s v="1428 Energy for Rural Transformation (ERT) Phase III"/>
    <e v="#NAME?"/>
    <s v="1428 Energy for Rural Transformation (ERT) Phase III"/>
    <s v="03"/>
    <s v="Energy and Mineral Development"/>
    <s v="017"/>
    <x v="5"/>
    <x v="5"/>
    <s v="1428"/>
    <s v="Energy for Rural Transformation (ERT) Phase III"/>
    <x v="0"/>
    <d v="2017-07-01T00:00:00"/>
    <d v="2023-06-30T00:00:00"/>
    <n v="31.602"/>
    <n v="486.75"/>
    <n v="518.35199999999998"/>
    <n v="0"/>
    <n v="13.07"/>
    <n v="55.49"/>
    <n v="68.56"/>
    <n v="0"/>
    <n v="0"/>
    <n v="0"/>
    <n v="0"/>
    <n v="0"/>
    <n v="0"/>
    <n v="0"/>
    <n v="0"/>
    <n v="0"/>
  </r>
  <r>
    <s v="63"/>
    <s v="1428 Energy for Rural Transformation (ERT) Phase III -REA"/>
    <e v="#NAME?"/>
    <s v="1428 Energy for Rural Transformation (ERT) Phase III -REA"/>
    <s v="03"/>
    <s v="Energy and Mineral Development"/>
    <s v="123"/>
    <x v="5"/>
    <x v="5"/>
    <s v="1428"/>
    <s v="Energy for Rural Transformation (ERT) Phase III"/>
    <x v="0"/>
    <d v="2017-07-01T00:00:00"/>
    <d v="2022-06-30T00:00:00"/>
    <n v="31.602"/>
    <n v="486.75"/>
    <n v="518.35199999999998"/>
    <n v="0"/>
    <n v="0"/>
    <n v="55.762999999999998"/>
    <n v="55.762999999999998"/>
    <n v="0"/>
    <n v="0"/>
    <n v="0"/>
    <n v="0"/>
    <n v="0"/>
    <n v="0"/>
    <n v="0"/>
    <n v="0"/>
    <n v="0"/>
  </r>
  <r>
    <s v="64"/>
    <s v="1429 ORIO Mini Hydro Power and Rural Electrification Project "/>
    <e v="#NAME?"/>
    <s v="1429 ORIO Mini Hydro Power and Rural Electrification Project "/>
    <s v="03"/>
    <s v="Energy and Mineral Development"/>
    <s v="017"/>
    <x v="5"/>
    <x v="5"/>
    <s v="1429"/>
    <s v="ORIO Mini Hydro Power and Rural Electrification Project "/>
    <x v="0"/>
    <d v="2017-07-01T00:00:00"/>
    <d v="2022-06-30T00:00:00"/>
    <n v="153"/>
    <m/>
    <n v="153"/>
    <n v="0"/>
    <n v="8"/>
    <n v="0"/>
    <n v="8"/>
    <n v="0"/>
    <n v="0"/>
    <n v="0"/>
    <n v="0"/>
    <n v="0"/>
    <n v="0"/>
    <n v="0"/>
    <n v="0"/>
    <n v="0"/>
  </r>
  <r>
    <s v="65"/>
    <s v="1432 OFID Funded Vocational Project Phase II"/>
    <e v="#NAME?"/>
    <s v="1432 OFID Funded Vocational Project Phase II"/>
    <s v="07"/>
    <s v="Education"/>
    <s v="013"/>
    <x v="0"/>
    <x v="0"/>
    <s v="1432"/>
    <s v="OFID Funded Vocational Project Phase II"/>
    <x v="0"/>
    <d v="2017-07-01T00:00:00"/>
    <d v="2022-06-30T00:00:00"/>
    <n v="7.593"/>
    <n v="54.366"/>
    <n v="61.959000000000003"/>
    <n v="0"/>
    <n v="0"/>
    <n v="58.06"/>
    <n v="58.06"/>
    <n v="0"/>
    <n v="0"/>
    <n v="0"/>
    <n v="0"/>
    <n v="0"/>
    <n v="0"/>
    <n v="0"/>
    <n v="0"/>
    <n v="0"/>
  </r>
  <r>
    <s v="66"/>
    <s v="1436 GAVI Vaccines and Health Sector Development Plan Support"/>
    <e v="#NAME?"/>
    <s v="1436 GAVI Vaccines and Health Sector Development Plan Support"/>
    <s v="08"/>
    <s v="Health"/>
    <s v="014"/>
    <x v="0"/>
    <x v="0"/>
    <s v="1436"/>
    <s v="GAVI Vaccines and Health Sector Development Plan Support"/>
    <x v="0"/>
    <d v="2017-07-01T00:00:00"/>
    <d v="2022-06-30T00:00:00"/>
    <n v="103.70399999999999"/>
    <n v="441.18900000000002"/>
    <n v="544.89300000000003"/>
    <n v="0"/>
    <n v="16"/>
    <n v="36.729999999999997"/>
    <n v="52.73"/>
    <n v="0"/>
    <n v="0"/>
    <n v="0"/>
    <n v="0"/>
    <n v="0"/>
    <n v="0"/>
    <n v="0"/>
    <n v="0"/>
    <n v="0"/>
  </r>
  <r>
    <s v="67"/>
    <s v="1440 Uganda Reproductive Maternal and Child Health Services Improvement Project"/>
    <e v="#NAME?"/>
    <s v="1440 Uganda Reproductive Maternal and Child Health Services Improvement Project"/>
    <s v="08"/>
    <s v="Health"/>
    <s v="014"/>
    <x v="0"/>
    <x v="0"/>
    <s v="1440"/>
    <s v="Uganda Reproductive Maternal and Child Health Services Improvement Project"/>
    <x v="0"/>
    <d v="2017-07-01T00:00:00"/>
    <d v="2022-06-30T00:00:00"/>
    <n v="0.05"/>
    <n v="475.99"/>
    <n v="476.04"/>
    <n v="0"/>
    <n v="0.2"/>
    <n v="242.97066760000001"/>
    <n v="243.1706676"/>
    <n v="0"/>
    <n v="0"/>
    <n v="0"/>
    <n v="0"/>
    <n v="0"/>
    <n v="0"/>
    <n v="0"/>
    <n v="0"/>
    <n v="0"/>
  </r>
  <r>
    <s v="68"/>
    <s v="1456 Multinational Lake Victoria Maritime Comm. &amp;Transport Project"/>
    <e v="#NAME?"/>
    <s v="1456 Multinational Lake Victoria Maritime Comm. &amp;Transport Project"/>
    <s v="04"/>
    <s v="Works and Transport"/>
    <s v="016"/>
    <x v="4"/>
    <x v="4"/>
    <s v="1456"/>
    <s v="Multinational Lake Victoria Maritime Comm. &amp;Transport Project"/>
    <x v="0"/>
    <d v="2017-07-01T00:00:00"/>
    <d v="2022-06-30T00:00:00"/>
    <n v="8.14"/>
    <n v="53.28"/>
    <n v="61.42"/>
    <n v="0"/>
    <n v="2"/>
    <n v="5.5039999999999996"/>
    <n v="7.5039999999999996"/>
    <n v="5"/>
    <n v="0"/>
    <n v="5"/>
    <n v="0"/>
    <n v="0"/>
    <n v="0"/>
    <n v="0"/>
    <n v="0"/>
    <n v="0"/>
  </r>
  <r>
    <s v="69"/>
    <s v="1486 Development Innitiative for Northern Uganda"/>
    <e v="#NAME?"/>
    <s v="1486 Development Innitiative for Northern Uganda"/>
    <s v="13"/>
    <s v="Public Sector Management"/>
    <s v="003"/>
    <x v="12"/>
    <x v="12"/>
    <s v="1486"/>
    <s v="Development Innitiative for Northern Uganda"/>
    <x v="0"/>
    <d v="2017-07-01T00:00:00"/>
    <d v="2022-06-30T00:00:00"/>
    <n v="470.4"/>
    <m/>
    <n v="470.4"/>
    <n v="0"/>
    <n v="0"/>
    <n v="389.81799999999998"/>
    <n v="389.81799999999998"/>
    <n v="0"/>
    <n v="0"/>
    <n v="0"/>
    <n v="0"/>
    <n v="0"/>
    <m/>
    <n v="0"/>
    <n v="0"/>
    <n v="0"/>
  </r>
  <r>
    <s v="70"/>
    <s v="1489 Development of Kabaale Airport"/>
    <e v="#NAME?"/>
    <s v="1489 Development of Kabaale Airport"/>
    <s v="04"/>
    <s v="Works and Transport"/>
    <s v="016"/>
    <x v="1"/>
    <x v="1"/>
    <s v="1489"/>
    <s v="Development of Kabaale Airport"/>
    <x v="0"/>
    <d v="2017-07-01T00:00:00"/>
    <d v="2022-06-30T00:00:00"/>
    <n v="22.188185376"/>
    <n v="1220.4010379599999"/>
    <n v="1242.589223336"/>
    <n v="0"/>
    <n v="3"/>
    <n v="58.972000000000001"/>
    <n v="61.972000000000001"/>
    <n v="6"/>
    <n v="465"/>
    <n v="471"/>
    <n v="0"/>
    <n v="0"/>
    <n v="0"/>
    <n v="0"/>
    <n v="0"/>
    <n v="0"/>
  </r>
  <r>
    <s v="71"/>
    <s v="1490 Luwero- Butalangu"/>
    <e v="#NAME?"/>
    <s v="1490 Luwero- Butalangu"/>
    <s v="04"/>
    <s v="Works and Transport"/>
    <s v="113"/>
    <x v="1"/>
    <x v="1"/>
    <s v="1490"/>
    <s v="Luwero- Butalangu"/>
    <x v="0"/>
    <d v="2017-07-01T00:00:00"/>
    <d v="2022-06-30T00:00:00"/>
    <n v="96.9"/>
    <n v="13.2"/>
    <n v="110.10000000000001"/>
    <n v="0"/>
    <n v="0.1"/>
    <n v="37.764234999999999"/>
    <n v="37.864235000000001"/>
    <n v="0"/>
    <n v="0"/>
    <n v="0"/>
    <n v="0"/>
    <n v="0"/>
    <n v="0"/>
    <n v="0"/>
    <n v="0"/>
    <n v="0"/>
  </r>
  <r>
    <s v="72"/>
    <s v="1491 African Centers of Excellence II"/>
    <e v="#NAME?"/>
    <s v="1491 African Centers of Excellence II"/>
    <s v="07"/>
    <s v="Education"/>
    <s v="013"/>
    <x v="0"/>
    <x v="0"/>
    <s v="1491"/>
    <s v="African Centers of Excellence II"/>
    <x v="0"/>
    <d v="2017-07-01T00:00:00"/>
    <d v="2022-06-30T00:00:00"/>
    <n v="0.5"/>
    <n v="80.88"/>
    <n v="81.38"/>
    <n v="0"/>
    <n v="0"/>
    <n v="17.489999999999998"/>
    <n v="17.489999999999998"/>
    <n v="0"/>
    <n v="0"/>
    <n v="0"/>
    <n v="0"/>
    <n v="0"/>
    <n v="0"/>
    <n v="0"/>
    <n v="0"/>
    <n v="0"/>
  </r>
  <r>
    <s v="73"/>
    <s v="1492 Kampala Metropolitan Transmission System Improvement Project"/>
    <e v="#NAME?"/>
    <s v="1492 Kampala Metropolitan Transmission System Improvement Project"/>
    <s v="03"/>
    <s v="Energy and Mineral Development"/>
    <s v="017"/>
    <x v="5"/>
    <x v="5"/>
    <s v="1492"/>
    <s v="Kampala Metropolitan Transmission System Improvement Project"/>
    <x v="0"/>
    <d v="2017-07-01T00:00:00"/>
    <d v="2022-06-30T00:00:00"/>
    <n v="47.6"/>
    <n v="437.85"/>
    <n v="485.45000000000005"/>
    <n v="0"/>
    <n v="1.96"/>
    <n v="84.71"/>
    <n v="86.669999999999987"/>
    <n v="0"/>
    <n v="0"/>
    <n v="0"/>
    <n v="0"/>
    <n v="0"/>
    <n v="0"/>
    <n v="0"/>
    <n v="0"/>
    <n v="0"/>
  </r>
  <r>
    <s v="74"/>
    <s v="1495 Rural Industrial Development Project (OVOP Project Phase III)"/>
    <e v="#NAME?"/>
    <s v="1495 Rural Industrial Development Project (OVOP Project Phase III)"/>
    <s v="06"/>
    <s v="Trade and Industry"/>
    <s v="015"/>
    <x v="11"/>
    <x v="11"/>
    <s v="1495"/>
    <s v="Rural Industrial Development Project (OVOP Project Phase III)"/>
    <x v="0"/>
    <d v="2017-07-01T00:00:00"/>
    <d v="2022-06-30T00:00:00"/>
    <n v="167"/>
    <m/>
    <n v="167"/>
    <n v="0.45"/>
    <n v="31.914359999999999"/>
    <n v="0"/>
    <n v="31.914359999999999"/>
    <n v="0"/>
    <n v="0"/>
    <n v="0"/>
    <n v="0"/>
    <n v="0"/>
    <n v="0"/>
    <n v="0"/>
    <n v="0"/>
    <n v="0"/>
  </r>
  <r>
    <s v="75"/>
    <s v="1497 Masaka-Mbarara Grid Expansion Line"/>
    <e v="#NAME?"/>
    <s v="1497 Masaka-Mbarara Grid Expansion Line"/>
    <s v="03"/>
    <s v="Energy and Mineral Development"/>
    <s v="017"/>
    <x v="5"/>
    <x v="5"/>
    <s v="1497"/>
    <s v="Masaka-Mbarara Grid Expansion Line"/>
    <x v="0"/>
    <d v="2017-07-01T00:00:00"/>
    <d v="2022-06-30T00:00:00"/>
    <n v="88.3"/>
    <n v="346.77199999999999"/>
    <n v="435.072"/>
    <n v="0"/>
    <n v="13.33"/>
    <n v="15.39"/>
    <n v="28.72"/>
    <n v="0"/>
    <n v="0"/>
    <n v="0"/>
    <n v="0"/>
    <n v="0"/>
    <n v="0"/>
    <n v="0"/>
    <n v="0"/>
    <n v="0"/>
  </r>
  <r>
    <s v="76"/>
    <s v="1499 Development Response for Displacement IMPACTS Project (DRDIP)"/>
    <e v="#NAME?"/>
    <s v="1499 Development Response for Displacement IMPACTS Project (DRDIP)"/>
    <s v="13"/>
    <s v="Public Sector Management"/>
    <s v="003"/>
    <x v="12"/>
    <x v="12"/>
    <s v="1499"/>
    <s v="Development Response for Displacement IMPACTS Project (DRDIP)"/>
    <x v="0"/>
    <d v="2017-07-01T00:00:00"/>
    <d v="2022-06-30T00:00:00"/>
    <m/>
    <n v="170"/>
    <n v="170"/>
    <n v="0"/>
    <n v="0"/>
    <n v="176.91"/>
    <n v="176.91"/>
    <n v="0"/>
    <n v="0"/>
    <n v="0"/>
    <n v="0"/>
    <n v="0"/>
    <m/>
    <n v="0"/>
    <n v="0"/>
    <n v="0"/>
  </r>
  <r>
    <s v="77"/>
    <s v="1509 Local Economic Growth (LEGS) Support Project"/>
    <e v="#NAME?"/>
    <s v="1509 Local Economic Growth (LEGS) Support Project"/>
    <s v="20"/>
    <s v="Local Government"/>
    <s v="011"/>
    <x v="12"/>
    <x v="12"/>
    <s v="1509"/>
    <s v="Local Economic Growth (LEGS) Support Project"/>
    <x v="0"/>
    <d v="2018-07-01T00:00:00"/>
    <d v="2022-06-30T00:00:00"/>
    <n v="50.4"/>
    <m/>
    <n v="50.4"/>
    <n v="0"/>
    <n v="7.2960000000000003"/>
    <n v="50.71"/>
    <n v="58.006"/>
    <n v="3.6480000000000001"/>
    <n v="43.8"/>
    <n v="47.448"/>
    <n v="0"/>
    <n v="0"/>
    <m/>
    <n v="0"/>
    <n v="0"/>
    <n v="0"/>
  </r>
  <r>
    <s v="78"/>
    <s v="1511 Kiira Motors Corporation"/>
    <e v="#NAME?"/>
    <s v="1511 Kiira Motors Corporation"/>
    <s v="18"/>
    <s v="Science, Technology and Innovation"/>
    <s v="023"/>
    <x v="13"/>
    <x v="13"/>
    <s v="1511"/>
    <s v="Kiira Motors Corporation"/>
    <x v="0"/>
    <d v="2018-07-01T00:00:00"/>
    <d v="2022-06-30T00:00:00"/>
    <n v="46.417000000000002"/>
    <n v="97.323999999999998"/>
    <n v="143.74099999999999"/>
    <n v="44.5"/>
    <n v="262.7"/>
    <n v="0"/>
    <n v="262.7"/>
    <n v="0"/>
    <n v="0"/>
    <n v="0"/>
    <n v="0"/>
    <n v="0"/>
    <n v="0"/>
    <n v="0"/>
    <n v="0"/>
    <n v="0"/>
  </r>
  <r>
    <s v="79"/>
    <s v="1512 Uganda National Airline Project"/>
    <e v="#NAME?"/>
    <s v="1512 Uganda National Airline Project"/>
    <s v="04"/>
    <s v="Works and Transport"/>
    <s v="016"/>
    <x v="1"/>
    <x v="1"/>
    <s v="1512"/>
    <s v="Uganda National Airline Project"/>
    <x v="0"/>
    <d v="2018-07-01T00:00:00"/>
    <d v="2023-06-30T00:00:00"/>
    <n v="259.14"/>
    <n v="1180.9380000000001"/>
    <n v="1440.078"/>
    <n v="0"/>
    <n v="142.73699999999999"/>
    <n v="0"/>
    <n v="142.73699999999999"/>
    <n v="19"/>
    <n v="0"/>
    <n v="19"/>
    <n v="0"/>
    <n v="0"/>
    <n v="0"/>
    <n v="0"/>
    <n v="0"/>
    <n v="0"/>
  </r>
  <r>
    <s v="80"/>
    <s v="1513 National Science, Technology, Engineering and Innovation Skills Enhancement Project"/>
    <e v="#NAME?"/>
    <s v="1513 National Science, Technology, Engineering and Innovation Skills Enhancement Project"/>
    <s v="18"/>
    <s v="Science, Technology and Innovation"/>
    <s v="023"/>
    <x v="13"/>
    <x v="13"/>
    <s v="1513"/>
    <s v="National Science, Technology, Engineering and Innovation Skills Enhancement Project"/>
    <x v="0"/>
    <d v="2018-07-01T00:00:00"/>
    <d v="2022-06-30T00:00:00"/>
    <n v="114"/>
    <n v="332"/>
    <n v="446"/>
    <n v="0"/>
    <n v="49.48"/>
    <n v="137.568815468"/>
    <n v="187.04881546799999"/>
    <n v="24.472000000000001"/>
    <n v="11.319098"/>
    <n v="35.791098000000005"/>
    <n v="17.218"/>
    <n v="2.1778749999999998"/>
    <n v="19.395875"/>
    <n v="0"/>
    <n v="0"/>
    <n v="0"/>
  </r>
  <r>
    <s v="81"/>
    <s v="1514 Uganda Support to Municipal Infrastructure Development (USMID II)"/>
    <e v="#NAME?"/>
    <s v="1514 Uganda Support to Municipal Infrastructure Development (USMID II)"/>
    <s v="02"/>
    <s v="Lands, Housing and Urban Development"/>
    <s v="012"/>
    <x v="9"/>
    <x v="9"/>
    <s v="1514"/>
    <s v="Uganda Support to Municipal Infrastructure Development (USMID II)"/>
    <x v="0"/>
    <d v="2018-01-07T00:00:00"/>
    <d v="2023-06-30T00:00:00"/>
    <m/>
    <n v="1345.32"/>
    <n v="1345.32"/>
    <n v="0"/>
    <n v="0"/>
    <n v="61.884"/>
    <n v="61.884"/>
    <n v="0"/>
    <n v="82.01"/>
    <n v="82.01"/>
    <n v="0"/>
    <n v="0"/>
    <n v="0"/>
    <n v="0"/>
    <n v="0"/>
    <n v="0"/>
  </r>
  <r>
    <s v="82"/>
    <s v="1517 Bridging the demand gap through the accelerated rural electrification Programme (TBEA)"/>
    <e v="#NAME?"/>
    <s v="1517 Bridging the demand gap through the accelerated rural electrification Programme (TBEA)"/>
    <s v="03"/>
    <s v="Energy and Mineral Development"/>
    <s v="123"/>
    <x v="5"/>
    <x v="5"/>
    <s v="1517"/>
    <s v="Bridging the demand gap through the accelerated rural electrification Programme (TBEA)"/>
    <x v="0"/>
    <d v="2018-07-01T00:00:00"/>
    <d v="2022-06-30T00:00:00"/>
    <n v="48.281999999999996"/>
    <n v="789.96799999999996"/>
    <n v="838.25"/>
    <n v="0"/>
    <n v="10"/>
    <n v="245.786"/>
    <n v="255.786"/>
    <n v="0"/>
    <n v="0"/>
    <n v="0"/>
    <n v="0"/>
    <n v="0"/>
    <n v="0"/>
    <n v="0"/>
    <n v="0"/>
    <n v="0"/>
  </r>
  <r>
    <s v="83"/>
    <s v="1518 Uganda Rural Electrification Access Project (UREAP)"/>
    <e v="#NAME?"/>
    <s v="1518 Uganda Rural Electrification Access Project (UREAP)"/>
    <s v="03"/>
    <s v="Energy and Mineral Development"/>
    <s v="123"/>
    <x v="5"/>
    <x v="5"/>
    <s v="1518"/>
    <s v="Uganda Rural Electrification Access Project (UREAP)"/>
    <x v="0"/>
    <d v="2018-07-01T00:00:00"/>
    <d v="2022-06-30T00:00:00"/>
    <n v="27"/>
    <n v="330.77"/>
    <n v="357.77"/>
    <n v="0"/>
    <n v="0"/>
    <n v="144.58099999999999"/>
    <n v="144.58099999999999"/>
    <n v="0"/>
    <n v="0"/>
    <n v="0"/>
    <n v="0"/>
    <n v="0"/>
    <n v="0"/>
    <n v="0"/>
    <n v="0"/>
    <n v="0"/>
  </r>
  <r>
    <s v="84"/>
    <s v="1519 Strengthening Capacity of Regional Referral Hospitals-DRIVE"/>
    <e v="#NAME?"/>
    <s v="1519 Strengthening Capacity of Regional Referral Hospitals-DRIVE"/>
    <s v="08"/>
    <s v="Health"/>
    <s v="014"/>
    <x v="0"/>
    <x v="0"/>
    <s v="1519"/>
    <s v="Strengthening Capacity of Regional Referral Hospitals-DRIVE"/>
    <x v="0"/>
    <d v="2018-07-01T00:00:00"/>
    <d v="2025-06-30T00:00:00"/>
    <m/>
    <n v="193.5"/>
    <n v="193.5"/>
    <n v="0"/>
    <n v="1"/>
    <n v="0"/>
    <n v="1"/>
    <n v="0"/>
    <n v="0"/>
    <n v="0"/>
    <n v="0"/>
    <n v="0"/>
    <n v="0"/>
    <n v="0"/>
    <n v="0"/>
    <n v="0"/>
  </r>
  <r>
    <s v="85"/>
    <s v="1528 Hoima Oil Refinery Proximity Development Master Plan"/>
    <e v="#NAME?"/>
    <s v="1528 Hoima Oil Refinery Proximity Development Master Plan"/>
    <s v="02"/>
    <s v="Lands, Housing and Urban Development"/>
    <s v="012"/>
    <x v="9"/>
    <x v="9"/>
    <s v="1528"/>
    <s v="Hoima Oil Refinery Proximity Development Master Plan"/>
    <x v="0"/>
    <d v="2019-01-07T00:00:00"/>
    <d v="2024-06-30T00:00:00"/>
    <n v="21.5"/>
    <m/>
    <n v="21.5"/>
    <n v="0"/>
    <n v="2.9"/>
    <n v="0"/>
    <n v="2.9"/>
    <n v="3.48"/>
    <n v="0"/>
    <n v="3.48"/>
    <n v="0"/>
    <n v="0"/>
    <n v="0"/>
    <n v="0"/>
    <n v="0"/>
    <n v="0"/>
  </r>
  <r>
    <s v="86"/>
    <s v="1536 Upgrading of Kitala-Gerenge Road"/>
    <e v="#NAME?"/>
    <s v="1536 Upgrading of Kitala-Gerenge Road"/>
    <s v="04"/>
    <s v="Works and Transport"/>
    <s v="113"/>
    <x v="1"/>
    <x v="1"/>
    <s v="1536"/>
    <s v="Upgrading of Kitala-Gerenge Road"/>
    <x v="0"/>
    <d v="2019-01-07T00:00:00"/>
    <d v="2023-06-30T00:00:00"/>
    <n v="21.152999999999999"/>
    <m/>
    <n v="21.152999999999999"/>
    <n v="10.455258122"/>
    <n v="10.455258122"/>
    <n v="0"/>
    <n v="10.455258122"/>
    <n v="0"/>
    <n v="0"/>
    <n v="0"/>
    <n v="0"/>
    <n v="0"/>
    <n v="0"/>
    <n v="0"/>
    <n v="0"/>
    <n v="0"/>
  </r>
  <r>
    <s v="87"/>
    <s v="1537 Upgrading of Kaya-Yei Road"/>
    <e v="#NAME?"/>
    <s v="1537 Upgrading of Kaya-Yei Road"/>
    <s v="04"/>
    <s v="Works and Transport"/>
    <s v="113"/>
    <x v="1"/>
    <x v="1"/>
    <s v="1537"/>
    <s v="Upgrading of Kaya-Yei Road"/>
    <x v="0"/>
    <d v="2019-01-07T00:00:00"/>
    <d v="2024-06-30T00:00:00"/>
    <n v="50"/>
    <m/>
    <n v="50"/>
    <n v="0"/>
    <n v="18"/>
    <n v="0"/>
    <n v="18"/>
    <n v="19.759599999999999"/>
    <n v="0"/>
    <n v="19.759599999999999"/>
    <n v="1.9877"/>
    <n v="0"/>
    <n v="1.9877"/>
    <n v="0"/>
    <n v="0"/>
    <n v="0"/>
  </r>
  <r>
    <s v="88"/>
    <s v="1539 Italian Support to Health Sector Development Plan- Karamoja Infrastructure Development Project Phase II"/>
    <e v="#NAME?"/>
    <s v="1539 Italian Support to Health Sector Development Plan- Karamoja Infrastructure Development Project Phase II"/>
    <s v="08"/>
    <s v="Health"/>
    <s v="014"/>
    <x v="0"/>
    <x v="0"/>
    <s v="1539"/>
    <s v="Italian Support to Health Sector Development Plan- Karamoja Infrastructure Development Project Phase II"/>
    <x v="0"/>
    <d v="2019-07-01T00:00:00"/>
    <d v="2023-06-30T00:00:00"/>
    <n v="40"/>
    <m/>
    <n v="40"/>
    <n v="0"/>
    <n v="0.36099999999999999"/>
    <n v="13.298490161"/>
    <n v="13.659490161000001"/>
    <n v="4.82"/>
    <n v="13.298490161"/>
    <n v="18.118490161"/>
    <n v="7.64"/>
    <n v="43.212574213000003"/>
    <n v="50.852574213000004"/>
    <n v="0.36099999999999999"/>
    <n v="0"/>
    <n v="0.36099999999999999"/>
  </r>
  <r>
    <s v="89"/>
    <s v="1540 Development of Secondary Education Phase II"/>
    <e v="#NAME?"/>
    <s v="1540 Development of Secondary Education Phase II"/>
    <s v="07"/>
    <s v="Education"/>
    <s v="013"/>
    <x v="0"/>
    <x v="0"/>
    <s v="1540"/>
    <s v="Development of Secondary Education Phase II"/>
    <x v="0"/>
    <d v="2019-07-01T00:00:00"/>
    <d v="2022-06-30T00:00:00"/>
    <n v="50"/>
    <m/>
    <n v="50"/>
    <n v="5.2"/>
    <n v="20.07"/>
    <n v="0"/>
    <n v="20.07"/>
    <n v="0"/>
    <n v="0"/>
    <n v="0"/>
    <n v="0"/>
    <n v="0"/>
    <n v="0"/>
    <n v="0"/>
    <n v="0"/>
    <n v="0"/>
  </r>
  <r>
    <s v="90"/>
    <s v="1542 Airborne Geophysical Survey and Geological Mapping of Karamoja"/>
    <e v="#NAME?"/>
    <s v="1542 Airborne Geophysical Survey and Geological Mapping of Karamoja"/>
    <s v="03"/>
    <s v="Energy and Mineral Development"/>
    <s v="017"/>
    <x v="10"/>
    <x v="10"/>
    <s v="1542"/>
    <s v="Airborne Geophysical Survey and Geological Mapping of Karamoja"/>
    <x v="0"/>
    <d v="2019-07-01T00:00:00"/>
    <d v="2025-06-30T00:00:00"/>
    <n v="97.340999999999994"/>
    <m/>
    <n v="97.340999999999994"/>
    <n v="0"/>
    <n v="9.1"/>
    <n v="20.309999999999999"/>
    <n v="29.409999999999997"/>
    <n v="2"/>
    <n v="17"/>
    <n v="19"/>
    <n v="1.6890000000000001"/>
    <n v="8.7799999999999994"/>
    <n v="10.468999999999999"/>
    <n v="1.2"/>
    <n v="7.7"/>
    <n v="8.9"/>
  </r>
  <r>
    <s v="91"/>
    <s v="1543 Kihihi-Butogota-Bohoma Road"/>
    <e v="#NAME?"/>
    <s v="1543 Kihihi-Butogota-Bohoma Road"/>
    <s v="04"/>
    <s v="Works and Transport"/>
    <s v="113"/>
    <x v="1"/>
    <x v="1"/>
    <s v="1543"/>
    <s v="Kihihi-Butogota-Bohoma Road"/>
    <x v="0"/>
    <d v="2019-01-07T00:00:00"/>
    <d v="2023-06-30T00:00:00"/>
    <n v="200"/>
    <m/>
    <n v="200"/>
    <n v="0"/>
    <n v="0"/>
    <n v="0"/>
    <n v="0"/>
    <n v="0"/>
    <n v="23.2"/>
    <n v="23.2"/>
    <n v="0"/>
    <n v="0"/>
    <n v="0"/>
    <n v="0"/>
    <n v="0"/>
    <n v="0"/>
  </r>
  <r>
    <s v="92"/>
    <s v="1544 Kisoro-Lake Bunyonyi Road"/>
    <e v="#NAME?"/>
    <s v="1544 Kisoro-Lake Bunyonyi Road"/>
    <s v="04"/>
    <s v="Works and Transport"/>
    <s v="113"/>
    <x v="1"/>
    <x v="1"/>
    <s v="1544"/>
    <s v="Kisoro-Lake Bunyonyi Road"/>
    <x v="0"/>
    <d v="2019-01-07T00:00:00"/>
    <d v="2023-06-30T00:00:00"/>
    <n v="50"/>
    <m/>
    <n v="50"/>
    <n v="0"/>
    <n v="0"/>
    <n v="11"/>
    <n v="11"/>
    <n v="0"/>
    <n v="17"/>
    <n v="17"/>
    <n v="0"/>
    <n v="0"/>
    <n v="0"/>
    <n v="0"/>
    <n v="0"/>
    <n v="0"/>
  </r>
  <r>
    <s v="93"/>
    <s v="1545 Kisoro-Mgahinga National Park Headquarters Road"/>
    <e v="#NAME?"/>
    <s v="1545 Kisoro-Mgahinga National Park Headquarters Road"/>
    <s v="04"/>
    <s v="Works and Transport"/>
    <s v="113"/>
    <x v="1"/>
    <x v="1"/>
    <s v="1545"/>
    <s v="Kisoro-Mgahinga National Park Headquarters Road"/>
    <x v="0"/>
    <d v="2019-01-07T00:00:00"/>
    <d v="2023-06-30T00:00:00"/>
    <n v="45"/>
    <m/>
    <n v="45"/>
    <n v="0"/>
    <n v="0"/>
    <n v="10"/>
    <n v="10"/>
    <n v="0"/>
    <n v="16"/>
    <n v="16"/>
    <n v="0"/>
    <n v="0"/>
    <n v="0"/>
    <n v="0"/>
    <n v="0"/>
    <n v="0"/>
  </r>
  <r>
    <s v="94"/>
    <s v="1546 Kisoro-Nkuringo-Rubugiri-Muko Road"/>
    <e v="#NAME?"/>
    <s v="1546 Kisoro-Nkuringo-Rubugiri-Muko Road"/>
    <s v="04"/>
    <s v="Works and Transport"/>
    <s v="113"/>
    <x v="1"/>
    <x v="1"/>
    <s v="1546"/>
    <s v="Kisoro-Nkuringo-Rubugiri-Muko Road"/>
    <x v="0"/>
    <d v="2019-01-07T00:00:00"/>
    <d v="2023-06-30T00:00:00"/>
    <n v="200"/>
    <m/>
    <n v="200"/>
    <n v="0"/>
    <n v="7.98"/>
    <n v="45.22"/>
    <n v="53.2"/>
    <n v="11.97"/>
    <n v="67.83"/>
    <n v="79.8"/>
    <n v="0"/>
    <n v="0"/>
    <n v="0"/>
    <n v="0"/>
    <n v="0"/>
    <n v="0"/>
  </r>
  <r>
    <s v="95"/>
    <s v="1550 Namunsi-Sironko/Muyembe-Kapchorwa Section I"/>
    <e v="#NAME?"/>
    <s v="1550 Namunsi-Sironko/Muyembe-Kapchorwa Section I"/>
    <s v="04"/>
    <s v="Works and Transport"/>
    <s v="113"/>
    <x v="1"/>
    <x v="1"/>
    <s v="1550"/>
    <s v="Namunsi-Sironko/Muyembe-Kapchorwa Section I"/>
    <x v="0"/>
    <d v="2019-01-07T00:00:00"/>
    <d v="2022-06-30T00:00:00"/>
    <n v="50.15"/>
    <m/>
    <n v="50.15"/>
    <n v="0"/>
    <n v="0"/>
    <n v="0"/>
    <n v="0"/>
    <n v="0"/>
    <n v="0"/>
    <n v="0"/>
    <n v="0"/>
    <n v="0"/>
    <n v="0"/>
    <n v="0"/>
    <n v="0"/>
    <n v="0"/>
  </r>
  <r>
    <s v="96"/>
    <s v="1552 Hoima-Katunguru Road"/>
    <e v="#NAME?"/>
    <s v="1552 Hoima-Katunguru Road"/>
    <s v="04"/>
    <s v="Works and Transport"/>
    <s v="113"/>
    <x v="1"/>
    <x v="1"/>
    <s v="1552"/>
    <s v="Hoima-Katunguru Road"/>
    <x v="0"/>
    <d v="2019-01-07T00:00:00"/>
    <d v="2022-06-30T00:00:00"/>
    <n v="89.557000000000002"/>
    <m/>
    <n v="89.557000000000002"/>
    <n v="0"/>
    <n v="47"/>
    <n v="0"/>
    <n v="47"/>
    <n v="0"/>
    <n v="0"/>
    <n v="0"/>
    <n v="0"/>
    <n v="0"/>
    <n v="0"/>
    <n v="0"/>
    <n v="0"/>
    <n v="0"/>
  </r>
  <r>
    <s v="97"/>
    <s v="1554 Nakalama-Tirinyi-Mbale Road"/>
    <e v="#NAME?"/>
    <s v="1554 Nakalama-Tirinyi-Mbale Road"/>
    <s v="04"/>
    <s v="Works and Transport"/>
    <s v="113"/>
    <x v="1"/>
    <x v="1"/>
    <s v="1554"/>
    <s v="Nakalama-Tirinyi-Mbale Road"/>
    <x v="0"/>
    <d v="2019-01-07T00:00:00"/>
    <d v="2022-06-30T00:00:00"/>
    <n v="73.36"/>
    <m/>
    <n v="73.36"/>
    <n v="0"/>
    <n v="22.5"/>
    <n v="0"/>
    <n v="22.5"/>
    <n v="0"/>
    <n v="0"/>
    <n v="0"/>
    <n v="0"/>
    <n v="0"/>
    <n v="0"/>
    <n v="0"/>
    <n v="0"/>
    <n v="0"/>
  </r>
  <r>
    <s v="98"/>
    <s v="1558 Rural Bridges Infrastructure Development"/>
    <e v="#NAME?"/>
    <s v="1558 Rural Bridges Infrastructure Development"/>
    <s v="04"/>
    <s v="Works and Transport"/>
    <s v="016"/>
    <x v="1"/>
    <x v="1"/>
    <s v="1558"/>
    <s v="Rural Bridges Infrastructure Development"/>
    <x v="0"/>
    <d v="2019-01-07T00:00:00"/>
    <d v="2024-06-30T00:00:00"/>
    <n v="300"/>
    <m/>
    <n v="300"/>
    <n v="0"/>
    <n v="21.3"/>
    <n v="0"/>
    <n v="21.3"/>
    <n v="80"/>
    <n v="0"/>
    <n v="80"/>
    <n v="100"/>
    <n v="0"/>
    <n v="100"/>
    <n v="0"/>
    <n v="0"/>
    <n v="0"/>
  </r>
  <r>
    <s v="99"/>
    <s v="1563 URC Capacity Building Project "/>
    <e v="#NAME?"/>
    <s v="1563 URC Capacity Building Project "/>
    <s v="04"/>
    <s v="Works and Transport"/>
    <s v="016"/>
    <x v="1"/>
    <x v="1"/>
    <s v="1563"/>
    <s v="URC Capacity Building Project "/>
    <x v="0"/>
    <d v="2020-07-01T00:00:00"/>
    <d v="2025-06-30T00:00:00"/>
    <n v="77.760000000000005"/>
    <n v="1407.33"/>
    <n v="1485.09"/>
    <n v="0"/>
    <n v="2"/>
    <n v="0"/>
    <n v="2"/>
    <n v="10"/>
    <n v="265.95"/>
    <n v="275.95"/>
    <n v="6"/>
    <n v="271.00667285999998"/>
    <n v="277.00667285999998"/>
    <n v="8"/>
    <n v="391.50494063999997"/>
    <n v="399.50494063999997"/>
  </r>
  <r>
    <s v="100"/>
    <s v="1564 Community Roads Improvement Project"/>
    <e v="#NAME?"/>
    <s v="1564 Community Roads Improvement Project"/>
    <s v="04"/>
    <s v="Works and Transport"/>
    <s v="016"/>
    <x v="1"/>
    <x v="1"/>
    <s v="1564"/>
    <s v="Community Roads Improvement Project"/>
    <x v="0"/>
    <d v="2020-07-01T00:00:00"/>
    <d v="2025-06-30T00:00:00"/>
    <n v="391.6"/>
    <n v="0"/>
    <n v="391.6"/>
    <n v="0"/>
    <n v="50"/>
    <n v="0"/>
    <n v="50"/>
    <n v="98.656000000000006"/>
    <n v="0"/>
    <n v="98.656000000000006"/>
    <n v="78.328000000000003"/>
    <n v="0"/>
    <n v="78.328000000000003"/>
    <n v="78.328000000000003"/>
    <n v="0"/>
    <n v="78.328000000000003"/>
  </r>
  <r>
    <s v="101"/>
    <s v="1566 Retooling of Ministry of Health"/>
    <e v="#NAME?"/>
    <s v="1566 Retooling of Ministry of Health"/>
    <s v="08"/>
    <s v="Health"/>
    <s v="014"/>
    <x v="2"/>
    <x v="2"/>
    <s v="1566"/>
    <s v="Retooling of Ministry of Health"/>
    <x v="1"/>
    <d v="2020-07-01T00:00:00"/>
    <d v="2025-06-30T00:00:00"/>
    <n v="24.8"/>
    <m/>
    <n v="24.8"/>
    <n v="0"/>
    <n v="21.271167287000001"/>
    <n v="0"/>
    <n v="21.271167287000001"/>
    <n v="1.4711672870000001"/>
    <n v="0"/>
    <n v="1.4711672870000001"/>
    <n v="2.6911672869999999"/>
    <n v="0"/>
    <n v="2.6911672869999999"/>
    <n v="2.855"/>
    <n v="0"/>
    <n v="2.855"/>
  </r>
  <r>
    <s v="102"/>
    <s v="1594 Retooling of Ministry of Energy and Mineral Development (PhaseII)"/>
    <e v="#NAME?"/>
    <s v="1594 Retooling of Ministry of Energy and Mineral Development (PhaseII)"/>
    <s v="03"/>
    <s v="Energy and Mineral Development"/>
    <s v="017"/>
    <x v="2"/>
    <x v="2"/>
    <s v="1594"/>
    <s v="Retooling of Ministry of Energy and Mineral Development (PhaseII)"/>
    <x v="1"/>
    <d v="2020-07-01T00:00:00"/>
    <d v="2025-06-30T00:00:00"/>
    <n v="174"/>
    <m/>
    <n v="174"/>
    <n v="0"/>
    <n v="29.9"/>
    <n v="0"/>
    <n v="29.9"/>
    <n v="43.002028000000003"/>
    <n v="0"/>
    <n v="43.002028000000003"/>
    <n v="47.002028000000003"/>
    <n v="0"/>
    <n v="47.002028000000003"/>
    <n v="44.002028000000003"/>
    <n v="0"/>
    <n v="44.002028000000003"/>
  </r>
  <r>
    <s v="103"/>
    <s v="1597 Retooling of Ministry of Science, Technology and Innovation"/>
    <e v="#NAME?"/>
    <s v="1597 Retooling of Ministry of Science, Technology and Innovation"/>
    <s v="18"/>
    <s v="Science, Technology and Innovation"/>
    <s v="023"/>
    <x v="2"/>
    <x v="2"/>
    <s v="1597"/>
    <s v="Retooling of Ministry of Science, Technology and Innovation"/>
    <x v="1"/>
    <d v="2020-07-01T00:00:00"/>
    <d v="2025-06-30T00:00:00"/>
    <n v="52.32"/>
    <m/>
    <n v="52.32"/>
    <n v="0"/>
    <n v="207.71100000000001"/>
    <n v="0"/>
    <n v="207.71100000000001"/>
    <n v="188.86510000000001"/>
    <n v="0"/>
    <n v="188.86510000000001"/>
    <n v="270.49840999999998"/>
    <n v="0"/>
    <n v="270.49840999999998"/>
    <n v="7.0549999999999997"/>
    <n v="0"/>
    <n v="7.0549999999999997"/>
  </r>
  <r>
    <s v="104"/>
    <s v="1600 Retooling of Ministry of ICT &amp; National Guidance"/>
    <e v="#NAME?"/>
    <s v="1600 Retooling of Ministry of ICT &amp; National Guidance"/>
    <s v="05"/>
    <s v="ICT and National Guidance"/>
    <s v="020"/>
    <x v="2"/>
    <x v="2"/>
    <s v="1600"/>
    <s v="Retooling of Ministry of ICT &amp; National Guidance"/>
    <x v="1"/>
    <d v="2020-07-01T00:00:00"/>
    <d v="2025-06-30T00:00:00"/>
    <n v="7"/>
    <m/>
    <n v="7"/>
    <n v="0"/>
    <n v="1.6"/>
    <n v="0"/>
    <n v="1.6"/>
    <n v="1.2"/>
    <n v="0"/>
    <n v="1.2"/>
    <n v="1.6"/>
    <n v="0"/>
    <n v="1.6"/>
    <n v="1"/>
    <n v="0"/>
    <n v="1"/>
  </r>
  <r>
    <s v="105"/>
    <s v="1609 Retooling of Ministry of Tourism, Wildlife and Antiquitties "/>
    <e v="#NAME?"/>
    <s v="1609 Retooling of Ministry of Tourism, Wildlife and Antiquitties "/>
    <s v="19"/>
    <s v="Tourism"/>
    <s v="022"/>
    <x v="2"/>
    <x v="2"/>
    <s v="1609"/>
    <s v="Retooling of Ministry of Tourism, Wildlife and Antiquitties "/>
    <x v="1"/>
    <d v="2020-07-01T00:00:00"/>
    <d v="2025-06-30T00:00:00"/>
    <n v="23.25"/>
    <m/>
    <n v="23.25"/>
    <n v="0.5"/>
    <n v="8.6320309999999996"/>
    <n v="0"/>
    <n v="8.6320309999999996"/>
    <n v="5.24"/>
    <n v="0"/>
    <n v="5.24"/>
    <n v="4.3600000000000003"/>
    <n v="0"/>
    <n v="4.3600000000000003"/>
    <n v="3.9"/>
    <n v="0"/>
    <n v="3.9"/>
  </r>
  <r>
    <s v="106"/>
    <s v="1610 Liquefied Petroleum Gas (LPG) Supply and Infrastructure Intervention"/>
    <e v="#NAME?"/>
    <s v="1610 Liquefied Petroleum Gas (LPG) Supply and Infrastructure Intervention"/>
    <s v="03"/>
    <s v="Energy and Mineral Development"/>
    <s v="017"/>
    <x v="6"/>
    <x v="6"/>
    <s v="1610"/>
    <s v="Liquefied Petroleum Gas (LPG) Supply and Infrastructure Intervention"/>
    <x v="0"/>
    <d v="2020-07-01T00:00:00"/>
    <d v="2025-06-30T00:00:00"/>
    <n v="970"/>
    <m/>
    <n v="970"/>
    <n v="0"/>
    <n v="20.51"/>
    <n v="0"/>
    <n v="20.51"/>
    <n v="180"/>
    <n v="0"/>
    <n v="180"/>
    <n v="180"/>
    <n v="0"/>
    <n v="180"/>
    <n v="200"/>
    <n v="0"/>
    <n v="200"/>
  </r>
  <r>
    <s v="107"/>
    <s v="1611 Petroleum Exploration and Promotion Frontier Basins"/>
    <e v="#NAME?"/>
    <s v="1611 Petroleum Exploration and Promotion Frontier Basins"/>
    <s v="03"/>
    <s v="Energy and Mineral Development"/>
    <s v="017"/>
    <x v="6"/>
    <x v="6"/>
    <s v="1611"/>
    <s v="Petroleum Exploration and Promotion Frontier Basins"/>
    <x v="0"/>
    <d v="2020-07-01T00:00:00"/>
    <d v="2025-06-30T00:00:00"/>
    <n v="101.2"/>
    <m/>
    <n v="101.2"/>
    <n v="0"/>
    <n v="5"/>
    <n v="0"/>
    <n v="5"/>
    <n v="35"/>
    <n v="0"/>
    <n v="35"/>
    <n v="35"/>
    <n v="0"/>
    <n v="35"/>
    <n v="21"/>
    <n v="0"/>
    <n v="21"/>
  </r>
  <r>
    <s v="108"/>
    <s v="1617 Retooling of Ministry of Works and Transport"/>
    <e v="#NAME?"/>
    <s v="1617 Retooling of Ministry of Works and Transport"/>
    <s v="04"/>
    <s v="Works and Transport"/>
    <s v="016"/>
    <x v="2"/>
    <x v="2"/>
    <s v="1617"/>
    <s v="Retooling of Ministry of Works and Transport"/>
    <x v="1"/>
    <d v="2020-07-01T00:00:00"/>
    <d v="2025-06-30T00:00:00"/>
    <n v="105"/>
    <n v="0"/>
    <n v="105"/>
    <n v="0"/>
    <n v="6.56"/>
    <n v="0"/>
    <n v="6.56"/>
    <n v="40"/>
    <n v="0"/>
    <n v="40"/>
    <n v="38"/>
    <n v="0"/>
    <n v="38"/>
    <n v="14.25"/>
    <n v="0"/>
    <n v="14.25"/>
  </r>
  <r>
    <s v="109"/>
    <s v="1632 Retooling of Ministry of Lands, Housing and Urban Development"/>
    <e v="#NAME?"/>
    <s v="1632 Retooling of Ministry of Lands, Housing and Urban Development"/>
    <s v="02"/>
    <s v="Lands, Housing and Urban Development"/>
    <s v="012"/>
    <x v="2"/>
    <x v="2"/>
    <s v="1632"/>
    <s v="Retooling of Ministry of Lands, Housing and Urban Development"/>
    <x v="1"/>
    <d v="2020-07-01T00:00:00"/>
    <d v="2025-06-30T00:00:00"/>
    <n v="20"/>
    <m/>
    <n v="20"/>
    <n v="0"/>
    <n v="2.35"/>
    <n v="0"/>
    <n v="2.35"/>
    <n v="4"/>
    <n v="0"/>
    <n v="4"/>
    <n v="4"/>
    <n v="0"/>
    <n v="4"/>
    <n v="4"/>
    <n v="0"/>
    <n v="4"/>
  </r>
  <r>
    <s v="110"/>
    <s v="1641 Retooling of Ministry of Internal Affairs"/>
    <e v="#NAME?"/>
    <s v="1641 Retooling of Ministry of Internal Affairs"/>
    <s v="12"/>
    <s v="Justice, Law and Order"/>
    <s v="009"/>
    <x v="2"/>
    <x v="2"/>
    <s v="1641"/>
    <s v="Retooling of Ministry of Internal Affairs"/>
    <x v="1"/>
    <d v="2020-07-01T00:00:00"/>
    <d v="2022-06-30T00:00:00"/>
    <n v="43.6"/>
    <m/>
    <n v="43.6"/>
    <n v="0"/>
    <n v="12.651298282000001"/>
    <n v="0"/>
    <n v="12.651298282000001"/>
    <n v="8.9"/>
    <n v="0"/>
    <n v="8.9"/>
    <n v="8.4"/>
    <n v="0"/>
    <n v="8.4"/>
    <n v="7.9"/>
    <n v="0"/>
    <n v="7.9"/>
  </r>
  <r>
    <s v="111"/>
    <s v="1647 Retooling of Ministry of Justice and Constitutional Affairs"/>
    <e v="#NAME?"/>
    <s v="1647 Retooling of Ministry of Justice and Constitutional Affairs"/>
    <s v="12"/>
    <s v="Justice, Law and Order"/>
    <s v="007"/>
    <x v="2"/>
    <x v="2"/>
    <s v="1647"/>
    <s v="Retooling of Ministry of Justice and Constitutional Affairs"/>
    <x v="1"/>
    <d v="2020-07-01T00:00:00"/>
    <d v="2022-06-30T00:00:00"/>
    <n v="72.36"/>
    <m/>
    <n v="72.36"/>
    <n v="0"/>
    <n v="16.975999999999999"/>
    <n v="0"/>
    <n v="16.975999999999999"/>
    <n v="9.2880000000000003"/>
    <n v="0"/>
    <n v="9.2880000000000003"/>
    <n v="9.4169999999999998"/>
    <n v="0"/>
    <n v="9.4169999999999998"/>
    <n v="7.0549999999999997"/>
    <n v="0"/>
    <n v="7.0549999999999997"/>
  </r>
  <r>
    <s v="112"/>
    <s v="1650 Retooling of Mbarara University of Science and Technology"/>
    <e v="#NAME?"/>
    <s v="1650 Retooling of Mbarara University of Science and Technology"/>
    <s v="07"/>
    <s v="Education"/>
    <s v="137"/>
    <x v="2"/>
    <x v="2"/>
    <s v="1650"/>
    <s v="Retooling of Mbarara University of Science and Technology"/>
    <x v="1"/>
    <d v="2020-07-01T00:00:00"/>
    <d v="2025-06-30T00:00:00"/>
    <n v="7.4950000000000001"/>
    <m/>
    <n v="7.4950000000000001"/>
    <n v="0"/>
    <n v="1.8785400000000001"/>
    <n v="0"/>
    <n v="1.8785400000000001"/>
    <n v="1.631121"/>
    <n v="0"/>
    <n v="1.631121"/>
    <n v="1.6587700000000001"/>
    <n v="0"/>
    <n v="1.6587700000000001"/>
    <n v="1.6668000000000001"/>
    <n v="0"/>
    <n v="1.6668000000000001"/>
  </r>
  <r>
    <s v="113"/>
    <s v="1652 Retooling of Ministry of Local Government"/>
    <e v="#NAME?"/>
    <s v="1652 Retooling of Ministry of Local Government"/>
    <s v="20"/>
    <s v="Local Government"/>
    <s v="011"/>
    <x v="2"/>
    <x v="2"/>
    <s v="1652"/>
    <s v="Retooling of Ministry of Local Government"/>
    <x v="1"/>
    <d v="2020-07-01T00:00:00"/>
    <d v="2025-06-30T00:00:00"/>
    <n v="125.29"/>
    <m/>
    <n v="125.29"/>
    <n v="0"/>
    <n v="18.95"/>
    <n v="0"/>
    <n v="18.95"/>
    <n v="18.95"/>
    <n v="0"/>
    <n v="18.95"/>
    <n v="18.95"/>
    <n v="0"/>
    <n v="18.95"/>
    <n v="18.95"/>
    <n v="0"/>
    <n v="18.95"/>
  </r>
  <r>
    <s v="114"/>
    <s v="1654 Power Supply to industrial parks and Power  Transmission Line Extension"/>
    <e v="#NAME?"/>
    <s v="1654 Power Supply to industrial parks and Power  Transmission Line Extension"/>
    <s v="03"/>
    <s v="Energy and Mineral Development"/>
    <s v="017"/>
    <x v="5"/>
    <x v="5"/>
    <s v="1654"/>
    <s v="Power Supply to industrial parks and Power  Transmission Line Extension"/>
    <x v="0"/>
    <d v="2020-07-01T00:00:00"/>
    <d v="2025-06-30T00:00:00"/>
    <n v="40"/>
    <n v="198.8"/>
    <n v="238.8"/>
    <n v="0"/>
    <n v="37.51"/>
    <n v="32.29"/>
    <n v="69.8"/>
    <n v="5"/>
    <n v="20"/>
    <n v="25"/>
    <n v="5"/>
    <n v="16.850000000000001"/>
    <n v="21.85"/>
    <n v="5"/>
    <n v="6.85"/>
    <n v="11.85"/>
  </r>
  <r>
    <s v="115"/>
    <s v="1655 Kikagati Nsongezi Transmission Line"/>
    <e v="#NAME?"/>
    <s v="1655 Kikagati Nsongezi Transmission Line"/>
    <s v="03"/>
    <s v="Energy and Mineral Development"/>
    <s v="017"/>
    <x v="5"/>
    <x v="5"/>
    <s v="1655"/>
    <s v="Kikagati Nsongezi Transmission Line"/>
    <x v="0"/>
    <d v="2020-07-01T00:00:00"/>
    <d v="2025-06-30T00:00:00"/>
    <n v="24.5"/>
    <m/>
    <n v="24.5"/>
    <n v="0"/>
    <n v="4.6500000000000004"/>
    <n v="7.69"/>
    <n v="12.34"/>
    <n v="1"/>
    <n v="0"/>
    <n v="1"/>
    <n v="1"/>
    <n v="0"/>
    <n v="1"/>
    <n v="1"/>
    <n v="0"/>
    <n v="1"/>
  </r>
  <r>
    <s v="116"/>
    <s v="1656 Construction of Muko - Katuna Road (66.6 km)"/>
    <e v="#NAME?"/>
    <s v="1656 Construction of Muko - Katuna Road (66.6 km)"/>
    <s v="04"/>
    <s v="Works and Transport"/>
    <s v="113"/>
    <x v="1"/>
    <x v="1"/>
    <s v="1656"/>
    <s v="Construction of Muko - Katuna Road (66.6 km)"/>
    <x v="0"/>
    <d v="2020-07-01T00:00:00"/>
    <d v="2025-06-30T00:00:00"/>
    <n v="0"/>
    <n v="386.89875000000001"/>
    <n v="386.89875000000001"/>
    <n v="0"/>
    <n v="0"/>
    <n v="0"/>
    <n v="0"/>
    <n v="0"/>
    <n v="0"/>
    <n v="0"/>
    <n v="0"/>
    <n v="0"/>
    <n v="0"/>
    <n v="0"/>
    <n v="0"/>
    <n v="0"/>
  </r>
  <r>
    <s v="117"/>
    <s v="1657 Moyo-Yumbe-Koboko road"/>
    <e v="#NAME?"/>
    <s v="1657 Moyo-Yumbe-Koboko road"/>
    <s v="04"/>
    <s v="Works and Transport"/>
    <s v="113"/>
    <x v="1"/>
    <x v="1"/>
    <s v="1657"/>
    <s v="Moyo-Yumbe-Koboko road"/>
    <x v="0"/>
    <d v="2020-07-01T00:00:00"/>
    <d v="2025-06-30T00:00:00"/>
    <n v="396.3"/>
    <n v="0"/>
    <n v="396.3"/>
    <n v="0"/>
    <n v="0"/>
    <n v="78"/>
    <n v="78"/>
    <n v="0"/>
    <n v="117"/>
    <n v="117"/>
    <n v="0"/>
    <n v="156"/>
    <n v="156"/>
    <n v="0"/>
    <n v="39"/>
    <n v="39"/>
  </r>
  <r>
    <s v="118"/>
    <s v="1659 Rehabilitation of the Tororo – Gulu railway line"/>
    <e v="#NAME?"/>
    <s v="1659 Rehabilitation of the Tororo – Gulu railway line"/>
    <s v="04"/>
    <s v="Works and Transport"/>
    <s v="016"/>
    <x v="1"/>
    <x v="1"/>
    <s v="1659"/>
    <s v="Rehabilitation of the Tororo – Gulu railway line"/>
    <x v="0"/>
    <d v="2020-07-01T00:00:00"/>
    <d v="2025-06-30T00:00:00"/>
    <n v="97.515000000000001"/>
    <n v="88.334999999999994"/>
    <n v="185.85"/>
    <n v="0"/>
    <n v="6.6"/>
    <n v="21.584"/>
    <n v="28.183999999999997"/>
    <n v="34.159999999999997"/>
    <n v="20.6967"/>
    <n v="54.856699999999996"/>
    <n v="29"/>
    <n v="16.932377500000001"/>
    <n v="45.932377500000001"/>
    <n v="25.155000000000001"/>
    <n v="12.8119225"/>
    <n v="37.966922500000003"/>
  </r>
  <r>
    <s v="119"/>
    <s v="1665 Uganda Secondary Education Expansion Project"/>
    <e v="#NAME?"/>
    <s v="1665 Uganda Secondary Education Expansion Project"/>
    <s v="07"/>
    <s v="Education"/>
    <s v="013"/>
    <x v="0"/>
    <x v="0"/>
    <s v="1665"/>
    <s v="Uganda Secondary Education Expansion Project"/>
    <x v="0"/>
    <d v="2020-07-01T00:00:00"/>
    <d v="2025-06-30T00:00:00"/>
    <n v="0"/>
    <n v="555"/>
    <n v="555"/>
    <n v="0"/>
    <n v="1.5"/>
    <n v="0"/>
    <n v="1.5"/>
    <n v="1.5"/>
    <n v="81.88"/>
    <n v="83.38"/>
    <n v="33.799999999999997"/>
    <n v="167.36"/>
    <n v="201.16000000000003"/>
    <n v="33.799999999999997"/>
    <n v="185.7"/>
    <n v="219.5"/>
  </r>
  <r>
    <s v="120"/>
    <s v="1673 Retooling of Office of the Prime Minister "/>
    <e v="#NAME?"/>
    <s v="1673 Retooling of Office of the Prime Minister "/>
    <s v="13"/>
    <s v="Public Sector Management"/>
    <s v="003"/>
    <x v="2"/>
    <x v="2"/>
    <s v="1673"/>
    <s v="Retooling of Office of the Prime Minister "/>
    <x v="1"/>
    <d v="2020-07-01T00:00:00"/>
    <d v="2022-06-30T00:00:00"/>
    <n v="14.1015"/>
    <m/>
    <n v="14.1015"/>
    <n v="0"/>
    <n v="2.06"/>
    <n v="0"/>
    <n v="2.06"/>
    <n v="5.2912999999999997"/>
    <n v="0"/>
    <n v="5.2912999999999997"/>
    <n v="2.9058000000000002"/>
    <n v="0"/>
    <n v="2.9058000000000002"/>
    <n v="1.7884"/>
    <n v="0"/>
    <n v="1.7884"/>
  </r>
  <r>
    <s v="121"/>
    <s v="1675 Retooling of Uganda National Bureau of Standards"/>
    <e v="#NAME?"/>
    <s v="1675 Retooling of Uganda National Bureau of Standards"/>
    <s v="06"/>
    <s v="Trade and Industry"/>
    <s v="154"/>
    <x v="2"/>
    <x v="2"/>
    <s v="1675"/>
    <s v="Retooling of Uganda National Bureau of Standards"/>
    <x v="1"/>
    <d v="2020-07-01T00:00:00"/>
    <d v="2025-06-30T00:00:00"/>
    <n v="58.264576140000003"/>
    <m/>
    <n v="58.264576140000003"/>
    <n v="0"/>
    <n v="11.652915227999999"/>
    <n v="0"/>
    <n v="11.652915227999999"/>
    <n v="11.652915227999999"/>
    <n v="0"/>
    <n v="11.652915227999999"/>
    <n v="11.652915227999999"/>
    <n v="0"/>
    <n v="11.652915227999999"/>
    <n v="11.652915227999999"/>
    <n v="0"/>
    <n v="11.652915227999999"/>
  </r>
  <r>
    <s v="122"/>
    <s v="1676 Retooling of Uganda Tourism Board"/>
    <e v="#NAME?"/>
    <s v="1676 Retooling of Uganda Tourism Board"/>
    <s v="19"/>
    <s v="Tourism"/>
    <s v="117"/>
    <x v="2"/>
    <x v="2"/>
    <s v="1676"/>
    <s v="Retooling of Uganda Tourism Board"/>
    <x v="1"/>
    <d v="2020-07-01T00:00:00"/>
    <d v="2025-06-30T00:00:00"/>
    <n v="14.515000000000001"/>
    <m/>
    <n v="14.515000000000001"/>
    <n v="0.06"/>
    <n v="4.7439999999999998"/>
    <n v="0"/>
    <n v="4.7439999999999998"/>
    <n v="4.1920000000000002"/>
    <n v="0"/>
    <n v="4.1920000000000002"/>
    <n v="2.5510000000000002"/>
    <n v="0"/>
    <n v="2.5510000000000002"/>
    <n v="2.8730000000000002"/>
    <n v="0"/>
    <n v="2.8730000000000002"/>
  </r>
  <r>
    <s v="123"/>
    <s v="1680 Retooling of Soroti University"/>
    <e v="#NAME?"/>
    <s v="1680 Retooling of Soroti University"/>
    <s v="07"/>
    <s v="Education"/>
    <s v="308"/>
    <x v="2"/>
    <x v="2"/>
    <s v="1680"/>
    <s v="Retooling of Soroti University"/>
    <x v="1"/>
    <d v="2020-07-01T00:00:00"/>
    <d v="2025-06-30T00:00:00"/>
    <n v="10.1"/>
    <m/>
    <n v="10.1"/>
    <n v="0"/>
    <n v="3.85"/>
    <n v="0"/>
    <n v="3.85"/>
    <n v="1.65"/>
    <n v="0"/>
    <n v="1.65"/>
    <n v="1.55"/>
    <n v="0"/>
    <n v="1.55"/>
    <n v="1.1499999999999999"/>
    <n v="0"/>
    <n v="1.1499999999999999"/>
  </r>
  <r>
    <s v="124"/>
    <s v="1688 Retooling of Uganda Export Promotion Board"/>
    <e v="#NAME?"/>
    <s v="1688 Retooling of Uganda Export Promotion Board"/>
    <s v="06"/>
    <s v="Trade and Industry"/>
    <s v="306"/>
    <x v="2"/>
    <x v="2"/>
    <s v="1688"/>
    <s v="Retooling of Uganda Export Promotion Board"/>
    <x v="1"/>
    <d v="2020-07-01T00:00:00"/>
    <d v="2025-06-30T00:00:00"/>
    <n v="7.2662810000000002"/>
    <m/>
    <n v="7.2662810000000002"/>
    <n v="0"/>
    <n v="2.2629999999999999"/>
    <n v="0"/>
    <n v="2.2629999999999999"/>
    <n v="2.2190002799999999"/>
    <n v="0"/>
    <n v="2.2190002799999999"/>
    <n v="1.569"/>
    <n v="0"/>
    <n v="1.569"/>
    <n v="1.159"/>
    <n v="0"/>
    <n v="1.159"/>
  </r>
  <r>
    <s v="125"/>
    <s v="1689 Retooling of Ministry of Trade and Industry"/>
    <e v="#NAME?"/>
    <s v="1689 Retooling of Ministry of Trade and Industry"/>
    <s v="06"/>
    <s v="Trade and Industry"/>
    <s v="015"/>
    <x v="2"/>
    <x v="2"/>
    <s v="1689"/>
    <s v="Retooling of Ministry of Trade and Industry"/>
    <x v="1"/>
    <d v="2020-07-01T00:00:00"/>
    <d v="2025-06-30T00:00:00"/>
    <n v="11.7"/>
    <m/>
    <n v="11.7"/>
    <n v="0"/>
    <n v="2.7275"/>
    <n v="0"/>
    <n v="2.7275"/>
    <n v="3.56"/>
    <n v="0"/>
    <n v="3.56"/>
    <n v="3.0274999999999999"/>
    <n v="0"/>
    <n v="3.0274999999999999"/>
    <n v="1.923"/>
    <n v="0"/>
    <n v="1.923"/>
  </r>
  <r>
    <s v="126"/>
    <s v="1692 Rehabilitation of Masaka Town Roads (7.3 KM)"/>
    <e v="#NAME?"/>
    <s v="1692 Rehabilitation of Masaka Town Roads (7.3 KM)"/>
    <s v="04"/>
    <s v="Works and Transport"/>
    <s v="113"/>
    <x v="1"/>
    <x v="1"/>
    <s v="1692"/>
    <s v="Rehabilitation of Masaka Town Roads (7.3 KM)"/>
    <x v="0"/>
    <d v="2020-07-01T00:00:00"/>
    <d v="2025-06-30T00:00:00"/>
    <n v="38.445999999999998"/>
    <m/>
    <n v="38.445999999999998"/>
    <n v="0"/>
    <n v="16"/>
    <n v="0"/>
    <n v="16"/>
    <n v="0"/>
    <n v="0"/>
    <n v="0"/>
    <n v="0"/>
    <n v="0"/>
    <n v="0"/>
    <n v="0"/>
    <n v="0"/>
    <n v="0"/>
  </r>
  <r>
    <s v="127"/>
    <s v="1693 Rehabilitation of Kampala-Jinja Highway(72 KM)"/>
    <e v="#NAME?"/>
    <s v="1693 Rehabilitation of Kampala-Jinja Highway(72 KM)"/>
    <s v="04"/>
    <s v="Works and Transport"/>
    <s v="113"/>
    <x v="1"/>
    <x v="1"/>
    <s v="1693"/>
    <s v="Rehabilitation of Kampala-Jinja Highway(72 KM)"/>
    <x v="0"/>
    <d v="2020-07-01T00:00:00"/>
    <d v="2025-06-30T00:00:00"/>
    <n v="234.5"/>
    <m/>
    <n v="234.5"/>
    <n v="0"/>
    <n v="0"/>
    <n v="0"/>
    <n v="0"/>
    <n v="0"/>
    <n v="0"/>
    <n v="0"/>
    <n v="0"/>
    <n v="0"/>
    <n v="0"/>
    <n v="0"/>
    <n v="0"/>
    <n v="0"/>
  </r>
  <r>
    <s v="128"/>
    <s v="1694 Rehabilitation  of Mityana-Mubende Road(100KM)"/>
    <e v="#NAME?"/>
    <s v="1694 Rehabilitation  of Mityana-Mubende Road(100KM)"/>
    <s v="04"/>
    <s v="Works and Transport"/>
    <s v="113"/>
    <x v="1"/>
    <x v="1"/>
    <s v="1694"/>
    <s v="Rehabilitation  of Mityana-Mubende Road(100KM)"/>
    <x v="0"/>
    <d v="2020-07-01T00:00:00"/>
    <d v="2025-06-30T00:00:00"/>
    <n v="641.99599999999998"/>
    <m/>
    <n v="641.99599999999998"/>
    <n v="0"/>
    <n v="101"/>
    <n v="0"/>
    <n v="101"/>
    <n v="101"/>
    <n v="0"/>
    <n v="101"/>
    <n v="101"/>
    <n v="0"/>
    <n v="101"/>
    <n v="40"/>
    <n v="0"/>
    <n v="40"/>
  </r>
  <r>
    <s v="129"/>
    <s v="1695 Rehabilitation of Packwach-Nebbi Section 2 Road(33KM)"/>
    <e v="#NAME?"/>
    <s v="1695 Rehabilitation of Packwach-Nebbi Section 2 Road(33KM)"/>
    <s v="04"/>
    <s v="Works and Transport"/>
    <s v="113"/>
    <x v="1"/>
    <x v="1"/>
    <s v="1695"/>
    <s v="Rehabilitation of Packwach-Nebbi Section 2 Road(33KM)"/>
    <x v="0"/>
    <d v="2020-07-01T00:00:00"/>
    <d v="2025-06-30T00:00:00"/>
    <n v="140.935"/>
    <m/>
    <n v="140.935"/>
    <n v="0"/>
    <n v="0"/>
    <n v="0"/>
    <n v="0"/>
    <n v="0"/>
    <n v="0"/>
    <n v="0"/>
    <n v="0"/>
    <n v="0"/>
    <n v="0"/>
    <n v="0"/>
    <n v="0"/>
    <n v="0"/>
  </r>
  <r>
    <s v="130"/>
    <s v="1699 Development of Museums and Heritage Sites for Cultural Tourism (Phase II) -022"/>
    <e v="#NAME?"/>
    <s v="1699 Development of Museums and Heritage Sites for Cultural Tourism (Phase II) -022"/>
    <s v="19"/>
    <s v="Tourism"/>
    <s v="022"/>
    <x v="14"/>
    <x v="14"/>
    <s v="1699"/>
    <s v="Development of Museums and Heritage Sites for Cultural Tourism (Phase II)"/>
    <x v="2"/>
    <d v="2021-07-01T00:00:00"/>
    <d v="2026-06-30T00:00:00"/>
    <n v="44.32"/>
    <m/>
    <n v="44.32"/>
    <n v="0"/>
    <n v="8.9"/>
    <n v="0"/>
    <n v="8.9"/>
    <n v="11.95"/>
    <n v="0"/>
    <n v="11.95"/>
    <n v="8.65"/>
    <n v="0"/>
    <n v="8.65"/>
    <n v="10.44"/>
    <n v="0"/>
    <n v="10.44"/>
  </r>
  <r>
    <s v="131"/>
    <s v="1700 Mt. Rwenzori Tourism Infrastructure Development Project Phase II"/>
    <e v="#NAME?"/>
    <s v="1700 Mt. Rwenzori Tourism Infrastructure Development Project Phase II"/>
    <s v="19"/>
    <s v="Tourism"/>
    <s v="022"/>
    <x v="14"/>
    <x v="14"/>
    <s v="1700"/>
    <s v="Mt. Rwenzori Tourism Infrastructure Development Project Phase II"/>
    <x v="2"/>
    <d v="2021-07-01T00:00:00"/>
    <d v="2026-06-30T00:00:00"/>
    <n v="69.69"/>
    <m/>
    <n v="69.69"/>
    <n v="0"/>
    <n v="10.93"/>
    <n v="0"/>
    <n v="10.93"/>
    <n v="14.6"/>
    <n v="0"/>
    <n v="14.6"/>
    <n v="15.29"/>
    <n v="0"/>
    <n v="15.29"/>
    <n v="17.39"/>
    <n v="0"/>
    <n v="17.39"/>
  </r>
  <r>
    <s v="132"/>
    <s v="1701 Development of Source of the Nile Project (Phase II)"/>
    <e v="#NAME?"/>
    <s v="1701 Development of Source of the Nile Project (Phase II)"/>
    <s v="19"/>
    <s v="Tourism"/>
    <s v="022"/>
    <x v="14"/>
    <x v="14"/>
    <s v="1701"/>
    <s v="Development of Source of the Nile Project (Phase II)"/>
    <x v="2"/>
    <d v="2021-07-01T00:00:00"/>
    <d v="2026-06-30T00:00:00"/>
    <n v="90.55"/>
    <m/>
    <n v="90.55"/>
    <n v="0"/>
    <n v="25.75"/>
    <n v="0"/>
    <n v="25.75"/>
    <n v="17"/>
    <n v="0"/>
    <n v="17"/>
    <n v="25.3"/>
    <n v="0"/>
    <n v="25.3"/>
    <n v="16.2"/>
    <n v="0"/>
    <n v="16.2"/>
  </r>
  <r>
    <s v="133"/>
    <s v="1703 Rehabilitation of District Roads Project"/>
    <e v="#NAME?"/>
    <s v="1703 Rehabilitation of District Roads Project"/>
    <s v="04"/>
    <s v="Works and Transport"/>
    <s v="016"/>
    <x v="1"/>
    <x v="1"/>
    <s v="1703"/>
    <s v="Rehabilitation of District Roads Project"/>
    <x v="2"/>
    <d v="2021-01-07T00:00:00"/>
    <s v="30/06/2026"/>
    <n v="572.36"/>
    <m/>
    <n v="572.36"/>
    <n v="0"/>
    <n v="80.92"/>
    <n v="0"/>
    <n v="80.92"/>
    <n v="147.34"/>
    <n v="0"/>
    <n v="147.34"/>
    <n v="114.99"/>
    <n v="0"/>
    <n v="114.99"/>
    <n v="114.99"/>
    <n v="0"/>
    <n v="114.99"/>
  </r>
  <r>
    <s v="134"/>
    <s v="1704 Development of Local Government's Revenue Collection and Management Information System"/>
    <e v="#NAME?"/>
    <s v="1704 Development of Local Government's Revenue Collection and Management Information System"/>
    <s v="20"/>
    <s v="Local Government"/>
    <s v="011"/>
    <x v="2"/>
    <x v="2"/>
    <s v="1704"/>
    <s v="Development of Local Government's Revenue Collection and Management Information System"/>
    <x v="2"/>
    <d v="2021-07-01T00:00:00"/>
    <d v="2025-06-30T00:00:00"/>
    <n v="58.58"/>
    <m/>
    <n v="58.58"/>
    <n v="0"/>
    <n v="10.814693757000001"/>
    <n v="0"/>
    <n v="10.814693757000001"/>
    <n v="11.621873756999999"/>
    <n v="0"/>
    <n v="11.621873756999999"/>
    <n v="12.429053757"/>
    <n v="0"/>
    <n v="12.429053757"/>
    <n v="13.236233757000001"/>
    <n v="0"/>
    <n v="13.236233757000001"/>
  </r>
  <r>
    <s v="135"/>
    <s v="1705 Rehabilitaion and Upgrading of Urban Roads Project"/>
    <e v="#NAME?"/>
    <s v="1705 Rehabilitaion and Upgrading of Urban Roads Project"/>
    <s v="04"/>
    <s v="Works and Transport"/>
    <s v="016"/>
    <x v="1"/>
    <x v="1"/>
    <s v="1705"/>
    <s v="Rehabilitaion and Upgrading of Urban Roads Project"/>
    <x v="2"/>
    <d v="2021-01-07T00:00:00"/>
    <s v="30/06/2026"/>
    <n v="253.85984078105"/>
    <m/>
    <n v="253.85984078105"/>
    <n v="0"/>
    <n v="14.1"/>
    <n v="0"/>
    <n v="14.1"/>
    <n v="87.443936312000005"/>
    <n v="0"/>
    <n v="87.443936312000005"/>
    <n v="50.771968156"/>
    <n v="0"/>
    <n v="50.771968156"/>
    <n v="50.771968156"/>
    <n v="0"/>
    <n v="50.771968156"/>
  </r>
  <r>
    <s v="136"/>
    <s v="1289 Competitiveness and Enterprise Development Project [CEDP] -008"/>
    <e v="#NAME?"/>
    <e v="#N/A"/>
    <s v="14"/>
    <s v="Accountability"/>
    <s v="008"/>
    <x v="8"/>
    <x v="8"/>
    <s v="1289"/>
    <s v="Competitiveness and Enterprise Development Project [CEDP]"/>
    <x v="0"/>
    <d v="2014-07-01T00:00:00"/>
    <d v="2022-06-30T00:00:00"/>
    <n v="8.6999999999999993"/>
    <n v="153.73599999999999"/>
    <n v="162.43599999999998"/>
    <n v="0"/>
    <n v="0.74"/>
    <n v="23.41"/>
    <n v="24.15"/>
    <m/>
    <m/>
    <n v="0"/>
    <m/>
    <m/>
    <m/>
    <m/>
    <m/>
    <n v="0"/>
  </r>
  <r>
    <s v="137"/>
    <s v="1338 Skills Development Project -008"/>
    <e v="#NAME?"/>
    <e v="#N/A"/>
    <s v="14"/>
    <s v="Accountability"/>
    <s v="008"/>
    <x v="8"/>
    <x v="8"/>
    <s v="1338"/>
    <s v="Skills Development Project"/>
    <x v="0"/>
    <d v="2015-07-01T00:00:00"/>
    <d v="2022-06-30T00:00:00"/>
    <n v="5.1820000000000004"/>
    <n v="246"/>
    <n v="251.18199999999999"/>
    <n v="0"/>
    <n v="1.25"/>
    <n v="57.57"/>
    <n v="58.82"/>
    <m/>
    <m/>
    <n v="0"/>
    <m/>
    <m/>
    <m/>
    <m/>
    <m/>
    <n v="0"/>
  </r>
  <r>
    <s v="138"/>
    <s v="1686 Retooling of Kampala Capital City Authority -01"/>
    <e v="#NAME?"/>
    <e v="#N/A"/>
    <s v="01"/>
    <s v="Agriculture"/>
    <s v="122"/>
    <x v="2"/>
    <x v="2"/>
    <s v="1686"/>
    <s v="Retooling of Kampala Capital City Authority"/>
    <x v="1"/>
    <d v="2020-07-01T00:00:00"/>
    <d v="2025-06-30T00:00:00"/>
    <n v="35"/>
    <m/>
    <n v="35"/>
    <n v="0"/>
    <n v="7"/>
    <m/>
    <n v="7"/>
    <n v="7"/>
    <m/>
    <n v="7"/>
    <n v="7"/>
    <m/>
    <n v="7"/>
    <n v="7"/>
    <m/>
    <n v="7"/>
  </r>
  <r>
    <s v="139"/>
    <s v="1686 Retooling of Kampala Capital City Authority -04"/>
    <e v="#NAME?"/>
    <e v="#N/A"/>
    <s v="04"/>
    <s v="Works and Transport"/>
    <s v="122"/>
    <x v="2"/>
    <x v="2"/>
    <s v="1686"/>
    <s v="Retooling of Kampala Capital City Authority"/>
    <x v="1"/>
    <d v="2020-07-01T00:00:00"/>
    <d v="2025-06-30T00:00:00"/>
    <n v="35"/>
    <m/>
    <n v="35"/>
    <n v="0"/>
    <n v="7"/>
    <m/>
    <n v="7"/>
    <n v="7"/>
    <m/>
    <n v="7"/>
    <n v="7"/>
    <m/>
    <n v="7"/>
    <n v="7"/>
    <m/>
    <n v="7"/>
  </r>
  <r>
    <s v="140"/>
    <s v="1686 Retooling of Kampala Capital City Authority -07"/>
    <e v="#NAME?"/>
    <e v="#N/A"/>
    <s v="07"/>
    <s v="Education"/>
    <s v="122"/>
    <x v="2"/>
    <x v="2"/>
    <s v="1686"/>
    <s v="Retooling of Kampala Capital City Authority"/>
    <x v="1"/>
    <d v="2020-07-01T00:00:00"/>
    <d v="2025-06-30T00:00:00"/>
    <n v="6.4"/>
    <m/>
    <n v="6.4"/>
    <n v="0"/>
    <n v="1.28"/>
    <m/>
    <n v="1.28"/>
    <n v="1.28"/>
    <m/>
    <n v="1.28"/>
    <n v="1.28"/>
    <m/>
    <n v="1.28"/>
    <n v="1.28"/>
    <m/>
    <n v="1.28"/>
  </r>
  <r>
    <s v="141"/>
    <s v="1686 Retooling of Kampala Capital City Authority -08"/>
    <e v="#NAME?"/>
    <e v="#N/A"/>
    <s v="08"/>
    <s v="Health"/>
    <s v="122"/>
    <x v="2"/>
    <x v="2"/>
    <s v="1686"/>
    <s v="Retooling of Kampala Capital City Authority"/>
    <x v="1"/>
    <d v="2020-07-01T00:00:00"/>
    <d v="2022-06-30T00:00:00"/>
    <n v="6.4"/>
    <m/>
    <n v="6.4"/>
    <n v="0"/>
    <n v="1.28"/>
    <m/>
    <n v="1.28"/>
    <n v="1.28"/>
    <m/>
    <n v="1.28"/>
    <n v="1.28"/>
    <m/>
    <n v="1.28"/>
    <n v="1.28"/>
    <m/>
    <n v="1.28"/>
  </r>
  <r>
    <s v="142"/>
    <s v="1686 Retooling of Kampala Capital City Authority -09"/>
    <e v="#NAME?"/>
    <e v="#N/A"/>
    <s v="09"/>
    <s v="Water and Environment"/>
    <s v="122"/>
    <x v="2"/>
    <x v="2"/>
    <s v="1686"/>
    <s v="Retooling of Kampala Capital City Authority"/>
    <x v="1"/>
    <d v="2020-07-01T00:00:00"/>
    <d v="2022-06-30T00:00:00"/>
    <n v="600"/>
    <m/>
    <n v="600"/>
    <n v="0"/>
    <n v="120"/>
    <m/>
    <n v="120"/>
    <n v="120"/>
    <m/>
    <n v="120"/>
    <n v="120"/>
    <m/>
    <n v="120"/>
    <n v="120"/>
    <m/>
    <n v="120"/>
  </r>
  <r>
    <s v="143"/>
    <s v="1686 Retooling of Kampala Capital City Authority -10"/>
    <e v="#NAME?"/>
    <e v="#N/A"/>
    <s v="10"/>
    <s v="Social Development"/>
    <s v="122"/>
    <x v="2"/>
    <x v="2"/>
    <s v="1686"/>
    <s v="Retooling of Kampala Capital City Authority"/>
    <x v="1"/>
    <d v="2020-07-01T00:00:00"/>
    <d v="2022-06-30T00:00:00"/>
    <n v="6"/>
    <m/>
    <n v="6"/>
    <n v="0"/>
    <n v="1.2"/>
    <m/>
    <n v="1.2"/>
    <n v="1.2"/>
    <m/>
    <n v="1.2"/>
    <n v="1.2"/>
    <m/>
    <n v="1.2"/>
    <n v="1.2"/>
    <m/>
    <n v="1.2"/>
  </r>
  <r>
    <s v="144"/>
    <s v="1686 Retooling of Kampala Capital City Authority -13"/>
    <e v="#NAME?"/>
    <e v="#N/A"/>
    <s v="13"/>
    <s v="Public Sector Management"/>
    <s v="122"/>
    <x v="2"/>
    <x v="2"/>
    <s v="1686"/>
    <s v="Retooling of Kampala Capital City Authority"/>
    <x v="1"/>
    <d v="2020-07-01T00:00:00"/>
    <d v="2022-06-30T00:00:00"/>
    <n v="600"/>
    <m/>
    <n v="600"/>
    <n v="0"/>
    <n v="120"/>
    <m/>
    <n v="120"/>
    <n v="120"/>
    <m/>
    <n v="120"/>
    <n v="120"/>
    <m/>
    <n v="120"/>
    <n v="120"/>
    <m/>
    <n v="120"/>
  </r>
  <r>
    <s v="145"/>
    <s v="1686 Retooling of Kampala Capital City Authority -14"/>
    <e v="#NAME?"/>
    <e v="#N/A"/>
    <s v="14"/>
    <s v="Accountability"/>
    <s v="122"/>
    <x v="2"/>
    <x v="2"/>
    <s v="1686"/>
    <s v="Retooling of Kampala Capital City Authority"/>
    <x v="1"/>
    <d v="2020-07-01T00:00:00"/>
    <d v="2022-06-30T00:00:00"/>
    <n v="6.4"/>
    <m/>
    <n v="6.4"/>
    <n v="0"/>
    <n v="1.28"/>
    <m/>
    <n v="1.28"/>
    <n v="1.28"/>
    <m/>
    <n v="1.28"/>
    <n v="1.28"/>
    <m/>
    <n v="1.28"/>
    <n v="1.28"/>
    <m/>
    <n v="1.28"/>
  </r>
  <r>
    <s v="146"/>
    <s v="1520 Building Resilient Communities, Wetland Ecosystem and Associated Catchments in Uganda"/>
    <e v="#NAME?"/>
    <e v="#N/A"/>
    <s v="01"/>
    <s v="Agriculture"/>
    <s v="010"/>
    <x v="11"/>
    <x v="11"/>
    <s v="1520"/>
    <s v="Building Resilient Communities, Wetland Ecosystem and Associated Catchments in Uganda"/>
    <x v="0"/>
    <d v="2018-07-01T00:00:00"/>
    <d v="2023-06-30T00:00:00"/>
    <n v="61.308999999999997"/>
    <n v="88.427000000000007"/>
    <n v="149.73599999999999"/>
    <n v="0"/>
    <m/>
    <m/>
    <n v="0"/>
    <m/>
    <m/>
    <n v="0"/>
    <m/>
    <m/>
    <m/>
    <m/>
    <m/>
    <n v="0"/>
  </r>
  <r>
    <s v="147"/>
    <s v="1709 Rice Development Project Phase II"/>
    <e v="#NAME?"/>
    <e v="#N/A"/>
    <s v="01"/>
    <s v="Agriculture"/>
    <s v="010"/>
    <x v="11"/>
    <x v="11"/>
    <s v="1709"/>
    <s v="Rice Development Project Phase II"/>
    <x v="2"/>
    <d v="2021-07-01T00:00:00"/>
    <d v="2026-06-30T00:00:00"/>
    <n v="6"/>
    <m/>
    <n v="6"/>
    <n v="0"/>
    <n v="1.2"/>
    <m/>
    <n v="1.2"/>
    <n v="1.2"/>
    <m/>
    <n v="1.2"/>
    <n v="1.2"/>
    <m/>
    <n v="1.2"/>
    <n v="1.2"/>
    <m/>
    <n v="1.2"/>
  </r>
  <r>
    <s v="148"/>
    <s v="1004 Arua Rehabilitation Referral Hospital"/>
    <e v="#NAME?"/>
    <e v="#N/A"/>
    <s v="08"/>
    <s v="Health"/>
    <s v="163"/>
    <x v="0"/>
    <x v="0"/>
    <s v="1004"/>
    <s v="Arua Rehabilitation Referral Hospital"/>
    <x v="0"/>
    <d v="2013-07-01T00:00:00"/>
    <d v="2022-06-30T00:00:00"/>
    <n v="12.513"/>
    <n v="13.627000000000001"/>
    <n v="26.14"/>
    <n v="0"/>
    <n v="0.6"/>
    <m/>
    <n v="0.6"/>
    <m/>
    <m/>
    <n v="0"/>
    <m/>
    <m/>
    <n v="0"/>
    <m/>
    <m/>
    <n v="0"/>
  </r>
  <r>
    <s v="149"/>
    <s v="1004 Fort Portal Rehabilitation Referral Hospital"/>
    <e v="#NAME?"/>
    <e v="#N/A"/>
    <s v="08"/>
    <s v="Health"/>
    <s v="164"/>
    <x v="0"/>
    <x v="0"/>
    <s v="1004"/>
    <s v="Fort Portal Rehabilitation Referral Hospital"/>
    <x v="0"/>
    <d v="2013-07-02T00:00:00"/>
    <d v="2022-06-30T00:00:00"/>
    <n v="5.8"/>
    <m/>
    <n v="5.8"/>
    <n v="0"/>
    <n v="0.57999999999999996"/>
    <m/>
    <n v="0.57999999999999996"/>
    <m/>
    <m/>
    <n v="0"/>
    <m/>
    <m/>
    <n v="0"/>
    <m/>
    <m/>
    <n v="0"/>
  </r>
  <r>
    <s v="150"/>
    <s v="1004 Gulu Rehabilitation Referral Hospital"/>
    <e v="#NAME?"/>
    <e v="#N/A"/>
    <s v="08"/>
    <s v="Health"/>
    <s v="165"/>
    <x v="0"/>
    <x v="0"/>
    <s v="1004"/>
    <s v="Gulu Rehabilitation Referral Hospital"/>
    <x v="0"/>
    <d v="2013-07-01T00:00:00"/>
    <d v="2022-06-30T00:00:00"/>
    <n v="16.149999999999999"/>
    <m/>
    <n v="16.149999999999999"/>
    <n v="0"/>
    <n v="1.7"/>
    <m/>
    <n v="1.7"/>
    <m/>
    <m/>
    <n v="0"/>
    <m/>
    <m/>
    <n v="0"/>
    <m/>
    <m/>
    <n v="0"/>
  </r>
  <r>
    <s v="151"/>
    <s v="1004 Jinja Rehabilitation Referral Hospital"/>
    <e v="#NAME?"/>
    <e v="#N/A"/>
    <s v="08"/>
    <s v="Health"/>
    <s v="167"/>
    <x v="0"/>
    <x v="0"/>
    <s v="1004"/>
    <s v="Jinja Rehabilitation Referral Hospital"/>
    <x v="0"/>
    <d v="2010-07-01T00:00:00"/>
    <d v="2022-06-30T00:00:00"/>
    <n v="6.3659999999999997"/>
    <m/>
    <n v="6.3659999999999997"/>
    <n v="0"/>
    <n v="1.7"/>
    <m/>
    <n v="1.7"/>
    <m/>
    <m/>
    <n v="0"/>
    <m/>
    <m/>
    <n v="0"/>
    <m/>
    <m/>
    <n v="0"/>
  </r>
  <r>
    <s v="152"/>
    <s v="1004 Kabale Regional Hospital Rehabilitaion"/>
    <e v="#NAME?"/>
    <e v="#N/A"/>
    <s v="08"/>
    <s v="Health"/>
    <s v="168"/>
    <x v="0"/>
    <x v="0"/>
    <s v="1004"/>
    <s v="Kabale Regional Hospital Rehabilitaion"/>
    <x v="0"/>
    <d v="2008-07-01T00:00:00"/>
    <d v="2022-06-30T00:00:00"/>
    <n v="15.45"/>
    <m/>
    <n v="15.45"/>
    <n v="0"/>
    <n v="1.7"/>
    <m/>
    <n v="1.7"/>
    <m/>
    <m/>
    <n v="0"/>
    <m/>
    <m/>
    <n v="0"/>
    <m/>
    <m/>
    <n v="0"/>
  </r>
  <r>
    <s v="153"/>
    <s v="1004 Masaka Rehabilitation Referral Hospital"/>
    <e v="#NAME?"/>
    <e v="#N/A"/>
    <s v="08"/>
    <s v="Health"/>
    <s v="169"/>
    <x v="0"/>
    <x v="0"/>
    <s v="1004"/>
    <s v="Masaka Rehabilitation Referral Hospital"/>
    <x v="0"/>
    <d v="2008-07-01T00:00:00"/>
    <d v="2022-06-30T00:00:00"/>
    <n v="36.646999999999998"/>
    <m/>
    <n v="36.646999999999998"/>
    <n v="0"/>
    <n v="1.7"/>
    <m/>
    <n v="1.7"/>
    <m/>
    <m/>
    <n v="0"/>
    <m/>
    <m/>
    <n v="0"/>
    <m/>
    <m/>
    <n v="0"/>
  </r>
  <r>
    <s v="154"/>
    <s v="1004 Mbale Rehabilitation Referral Hospital"/>
    <e v="#NAME?"/>
    <e v="#N/A"/>
    <s v="08"/>
    <s v="Health"/>
    <s v="170"/>
    <x v="0"/>
    <x v="0"/>
    <s v="1004"/>
    <s v="Mbale Rehabilitation Referral Hospital"/>
    <x v="0"/>
    <d v="2007-07-01T00:00:00"/>
    <d v="2022-06-30T00:00:00"/>
    <n v="22"/>
    <m/>
    <n v="22"/>
    <n v="0"/>
    <n v="1.7"/>
    <m/>
    <n v="1.7"/>
    <m/>
    <m/>
    <n v="0"/>
    <m/>
    <m/>
    <n v="0"/>
    <m/>
    <m/>
    <n v="0"/>
  </r>
  <r>
    <s v="155"/>
    <s v="1004 Lira Rehabilitation Referral Hospital"/>
    <e v="#NAME?"/>
    <e v="#N/A"/>
    <s v="08"/>
    <s v="Health"/>
    <s v="172"/>
    <x v="0"/>
    <x v="0"/>
    <s v="1004"/>
    <s v="Lira Rehabilitation Referral Hospital"/>
    <x v="0"/>
    <d v="2008-07-01T00:00:00"/>
    <d v="2022-06-30T00:00:00"/>
    <n v="18.559999999999999"/>
    <m/>
    <n v="18.559999999999999"/>
    <n v="0"/>
    <n v="1.7"/>
    <m/>
    <n v="1.7"/>
    <m/>
    <m/>
    <n v="0"/>
    <m/>
    <m/>
    <n v="0"/>
    <m/>
    <m/>
    <n v="0"/>
  </r>
  <r>
    <s v="156"/>
    <s v="1004 Mbarara Rehabilitation Referral Hospital"/>
    <e v="#NAME?"/>
    <e v="#N/A"/>
    <s v="08"/>
    <s v="Health"/>
    <s v="173"/>
    <x v="0"/>
    <x v="0"/>
    <s v="1004"/>
    <s v="Mbarara Rehabilitation Referral Hospital"/>
    <x v="0"/>
    <d v="2008-07-01T00:00:00"/>
    <d v="2022-06-30T00:00:00"/>
    <n v="50.078000000000003"/>
    <m/>
    <n v="50.078000000000003"/>
    <n v="0"/>
    <n v="1.7"/>
    <m/>
    <n v="1.7"/>
    <m/>
    <m/>
    <n v="0"/>
    <m/>
    <m/>
    <n v="0"/>
    <m/>
    <m/>
    <n v="0"/>
  </r>
  <r>
    <s v="157"/>
    <s v="1004 Mubende Rehabilitation Referal Hospital"/>
    <e v="#NAME?"/>
    <e v="#N/A"/>
    <s v="08"/>
    <s v="Health"/>
    <s v="174"/>
    <x v="0"/>
    <x v="0"/>
    <s v="1004"/>
    <s v="Mubende Rehabilitation Referal Hospital"/>
    <x v="0"/>
    <d v="2009-07-01T00:00:00"/>
    <d v="2022-06-30T00:00:00"/>
    <n v="16.989999999999998"/>
    <m/>
    <n v="16.989999999999998"/>
    <n v="0"/>
    <n v="2.5499999999999998"/>
    <m/>
    <n v="2.5499999999999998"/>
    <m/>
    <m/>
    <n v="0"/>
    <m/>
    <m/>
    <n v="0"/>
    <m/>
    <m/>
    <n v="0"/>
  </r>
  <r>
    <s v="158"/>
    <s v="1004 Moroto Rehabilitation Referal Hospital"/>
    <e v="#NAME?"/>
    <e v="#N/A"/>
    <s v="08"/>
    <s v="Health"/>
    <s v="175"/>
    <x v="0"/>
    <x v="0"/>
    <s v="1004"/>
    <s v="Moroto Rehabilitation Referal Hospital"/>
    <x v="0"/>
    <d v="2010-07-01T00:00:00"/>
    <d v="2022-06-30T00:00:00"/>
    <n v="31.690999999999999"/>
    <m/>
    <n v="31.690999999999999"/>
    <n v="0"/>
    <m/>
    <m/>
    <n v="0"/>
    <m/>
    <m/>
    <n v="0"/>
    <m/>
    <m/>
    <n v="0"/>
    <m/>
    <m/>
    <n v="0"/>
  </r>
  <r>
    <s v="159"/>
    <s v="1004 Naguru Rehabilitation Referal Hospital"/>
    <e v="#NAME?"/>
    <e v="#N/A"/>
    <s v="08"/>
    <s v="Health"/>
    <s v="176"/>
    <x v="0"/>
    <x v="0"/>
    <s v="1004"/>
    <s v="Naguru Rehabilitation Referal Hospital"/>
    <x v="0"/>
    <d v="2013-07-01T00:00:00"/>
    <d v="2022-06-30T00:00:00"/>
    <n v="5.84"/>
    <m/>
    <n v="5.84"/>
    <n v="0"/>
    <n v="0.98"/>
    <m/>
    <n v="0.98"/>
    <m/>
    <m/>
    <n v="0"/>
    <m/>
    <m/>
    <n v="0"/>
    <m/>
    <m/>
    <n v="0"/>
  </r>
  <r>
    <s v="160"/>
    <s v="1708 Retooling of the Parliamentary Commission"/>
    <e v="#NAME?"/>
    <e v="#N/A"/>
    <s v="15"/>
    <s v="Legislature"/>
    <s v="104"/>
    <x v="2"/>
    <x v="2"/>
    <s v="1708"/>
    <s v="Retooling of the Parliamentary Commission"/>
    <x v="1"/>
    <d v="2020-07-01T00:00:00"/>
    <d v="2025-06-30T00:00:00"/>
    <n v="298.06"/>
    <m/>
    <n v="298.06"/>
    <n v="0"/>
    <n v="62.866999999999997"/>
    <m/>
    <n v="62.866999999999997"/>
    <n v="92.5"/>
    <m/>
    <n v="92.5"/>
    <n v="83.233000000000004"/>
    <m/>
    <n v="83.233000000000004"/>
    <n v="59.47"/>
    <m/>
    <n v="59.47"/>
  </r>
  <r>
    <s v="161"/>
    <s v="1520 Building Resilient Communities, Wetland Ecosystems and Associated Catchments in Uganda"/>
    <e v="#NAME?"/>
    <e v="#N/A"/>
    <s v="09"/>
    <s v="Water and Environment"/>
    <s v="019"/>
    <x v="15"/>
    <x v="15"/>
    <s v="1520"/>
    <s v="Building Resilient Communities, Wetland Ecosystems and Associated Catchments in Uganda"/>
    <x v="0"/>
    <d v="2018-07-01T00:00:00"/>
    <d v="2022-06-30T00:00:00"/>
    <n v="61.308999999999997"/>
    <n v="88.427000000000007"/>
    <n v="149.73599999999999"/>
    <n v="0"/>
    <n v="4.067554436"/>
    <m/>
    <n v="4.067554436"/>
    <m/>
    <m/>
    <n v="0"/>
    <m/>
    <m/>
    <n v="0"/>
    <m/>
    <m/>
    <n v="0"/>
  </r>
  <r>
    <s v="162"/>
    <s v="1263 Agriculture Cluster Development Project"/>
    <e v="#NAME?"/>
    <e v="#N/A"/>
    <s v="01"/>
    <s v="Agriculture"/>
    <s v="010"/>
    <x v="11"/>
    <x v="11"/>
    <s v="1263"/>
    <s v="Agriculture Cluster Development Project"/>
    <x v="0"/>
    <d v="2013-07-01T00:00:00"/>
    <d v="2022-06-30T00:00:00"/>
    <n v="0.3"/>
    <n v="441.8"/>
    <n v="442.1"/>
    <n v="0"/>
    <n v="0.61"/>
    <n v="296.26"/>
    <n v="296.87"/>
    <m/>
    <m/>
    <n v="0"/>
    <m/>
    <m/>
    <m/>
    <m/>
    <m/>
    <n v="0"/>
  </r>
  <r>
    <s v="163"/>
    <s v="1316 Enhancing National Food Security through increased Rice production in Eastern Uganda"/>
    <e v="#NAME?"/>
    <e v="#N/A"/>
    <s v="01"/>
    <s v="Agriculture"/>
    <s v="010"/>
    <x v="11"/>
    <x v="11"/>
    <s v="1316"/>
    <s v="Enhancing National Food Security through increased Rice production in Eastern Uganda"/>
    <x v="0"/>
    <d v="2014-07-01T00:00:00"/>
    <d v="2022-06-30T00:00:00"/>
    <n v="45.1"/>
    <n v="80.02"/>
    <n v="125.12"/>
    <n v="0"/>
    <n v="0.75"/>
    <n v="40.299999999999997"/>
    <n v="41.05"/>
    <m/>
    <m/>
    <n v="0"/>
    <m/>
    <m/>
    <m/>
    <m/>
    <m/>
    <n v="0"/>
  </r>
  <r>
    <s v="164"/>
    <s v="1323 The Project on Irrigation Scheme Development in Central and Eastern Uganda (PISD)-JICA Supported Project"/>
    <e v="#NAME?"/>
    <e v="#N/A"/>
    <s v="01"/>
    <s v="Agriculture"/>
    <s v="010"/>
    <x v="11"/>
    <x v="11"/>
    <s v="1323"/>
    <s v="The Project on Irrigation Scheme Development in Central and Eastern Uganda (PISD)-JICA Supported Project"/>
    <x v="0"/>
    <d v="2015-07-01T00:00:00"/>
    <d v="2023-06-30T00:00:00"/>
    <n v="7.4"/>
    <m/>
    <n v="7.4"/>
    <n v="0"/>
    <n v="3"/>
    <m/>
    <n v="3"/>
    <n v="3"/>
    <m/>
    <n v="3"/>
    <m/>
    <m/>
    <m/>
    <m/>
    <m/>
    <n v="0"/>
  </r>
  <r>
    <s v="165"/>
    <s v="1324 Nothern Uganda Farmers Livelihood Improvement Project"/>
    <e v="#NAME?"/>
    <e v="#N/A"/>
    <s v="01"/>
    <s v="Agriculture"/>
    <s v="010"/>
    <x v="11"/>
    <x v="11"/>
    <s v="1324"/>
    <s v="Nothern Uganda Farmers Livelihood Improvement Project"/>
    <x v="0"/>
    <d v="2015-07-01T00:00:00"/>
    <d v="2022-06-30T00:00:00"/>
    <n v="4"/>
    <n v="44.58"/>
    <n v="48.58"/>
    <n v="0"/>
    <n v="0.31"/>
    <n v="2.2599999999999998"/>
    <n v="2.57"/>
    <m/>
    <m/>
    <n v="0"/>
    <m/>
    <m/>
    <m/>
    <m/>
    <m/>
    <n v="0"/>
  </r>
  <r>
    <s v="166"/>
    <s v="1330 Livestock Diseases Control Project Phase 2"/>
    <e v="#NAME?"/>
    <e v="#N/A"/>
    <s v="01"/>
    <s v="Agriculture"/>
    <s v="010"/>
    <x v="11"/>
    <x v="11"/>
    <s v="1330"/>
    <s v="Livestock Diseases Control Project Phase 2"/>
    <x v="0"/>
    <d v="2015-07-01T00:00:00"/>
    <d v="2022-06-30T00:00:00"/>
    <n v="45.6"/>
    <m/>
    <n v="45.6"/>
    <n v="0"/>
    <n v="13.15"/>
    <m/>
    <n v="13.15"/>
    <m/>
    <m/>
    <n v="0"/>
    <m/>
    <m/>
    <m/>
    <m/>
    <m/>
    <n v="0"/>
  </r>
  <r>
    <s v="167"/>
    <s v="1357 Improving Access and Use of Agricultural Equipment and Mechanisation through the use of labour Saving Technologies"/>
    <e v="#NAME?"/>
    <e v="#N/A"/>
    <s v="01"/>
    <s v="Agriculture"/>
    <s v="010"/>
    <x v="11"/>
    <x v="11"/>
    <s v="1357"/>
    <s v="Improving Access and Use of Agricultural Equipment and Mechanisation through the use of labour Saving Technologies"/>
    <x v="0"/>
    <d v="2015-07-01T00:00:00"/>
    <d v="2022-06-30T00:00:00"/>
    <n v="125.5"/>
    <m/>
    <n v="125.5"/>
    <n v="0"/>
    <n v="38.4"/>
    <m/>
    <n v="38.4"/>
    <m/>
    <m/>
    <n v="0"/>
    <m/>
    <m/>
    <m/>
    <m/>
    <m/>
    <n v="0"/>
  </r>
  <r>
    <s v="168"/>
    <s v="1358 Meat Export Support Services"/>
    <e v="#NAME?"/>
    <e v="#N/A"/>
    <s v="01"/>
    <s v="Agriculture"/>
    <s v="010"/>
    <x v="11"/>
    <x v="11"/>
    <s v="1358"/>
    <s v="Meat Export Support Services"/>
    <x v="0"/>
    <d v="2015-07-01T00:00:00"/>
    <d v="2022-06-30T00:00:00"/>
    <n v="59.4"/>
    <m/>
    <n v="59.4"/>
    <n v="0"/>
    <n v="13.31"/>
    <m/>
    <n v="13.31"/>
    <m/>
    <m/>
    <n v="0"/>
    <m/>
    <m/>
    <m/>
    <m/>
    <m/>
    <n v="0"/>
  </r>
  <r>
    <s v="169"/>
    <s v="1363 Regional Pastoral Livelihood Improvement Project"/>
    <e v="#NAME?"/>
    <e v="#N/A"/>
    <s v="01"/>
    <s v="Agriculture"/>
    <s v="010"/>
    <x v="11"/>
    <x v="11"/>
    <s v="1363"/>
    <s v="Regional Pastoral Livelihood Improvement Project"/>
    <x v="0"/>
    <d v="2015-07-01T00:00:00"/>
    <d v="2022-06-30T00:00:00"/>
    <n v="12.6"/>
    <n v="107.42"/>
    <n v="120.02"/>
    <n v="0"/>
    <n v="0.3"/>
    <n v="46.67"/>
    <n v="46.97"/>
    <m/>
    <m/>
    <n v="0"/>
    <m/>
    <m/>
    <m/>
    <m/>
    <m/>
    <n v="0"/>
  </r>
  <r>
    <s v="170"/>
    <s v="1365 Support to Sustainable Fisheries Development Project"/>
    <e v="#NAME?"/>
    <e v="#N/A"/>
    <s v="01"/>
    <s v="Agriculture"/>
    <s v="010"/>
    <x v="11"/>
    <x v="11"/>
    <s v="1365"/>
    <s v="Support to Sustainable Fisheries Development Project"/>
    <x v="0"/>
    <d v="2015-07-01T00:00:00"/>
    <d v="2022-06-30T00:00:00"/>
    <n v="49.7"/>
    <m/>
    <n v="49.7"/>
    <n v="0"/>
    <n v="7.34"/>
    <m/>
    <n v="7.34"/>
    <m/>
    <m/>
    <n v="0"/>
    <m/>
    <m/>
    <m/>
    <m/>
    <m/>
    <n v="0"/>
  </r>
  <r>
    <s v="171"/>
    <s v="1386 Crop pests and diseases control phase 2"/>
    <e v="#NAME?"/>
    <e v="#N/A"/>
    <s v="01"/>
    <s v="Agriculture"/>
    <s v="010"/>
    <x v="11"/>
    <x v="11"/>
    <s v="1386"/>
    <s v="Crop pests and diseases control phase 2"/>
    <x v="0"/>
    <d v="2016-07-01T00:00:00"/>
    <d v="2022-06-30T00:00:00"/>
    <n v="19.649999999999999"/>
    <m/>
    <n v="19.649999999999999"/>
    <n v="0"/>
    <n v="3.9"/>
    <m/>
    <n v="3.9"/>
    <m/>
    <m/>
    <n v="0"/>
    <m/>
    <m/>
    <m/>
    <m/>
    <m/>
    <n v="0"/>
  </r>
  <r>
    <s v="172"/>
    <s v="1411 The COMESA Seed Harmonization Implementation Plan (COMSHIP) Project"/>
    <e v="#NAME?"/>
    <e v="#N/A"/>
    <s v="01"/>
    <s v="Agriculture"/>
    <s v="010"/>
    <x v="11"/>
    <x v="11"/>
    <s v="1411"/>
    <s v="The COMESA Seed Harmonization Implementation Plan (COMSHIP) Project"/>
    <x v="0"/>
    <d v="2016-07-01T00:00:00"/>
    <d v="2022-06-30T00:00:00"/>
    <n v="5.3129999999999997"/>
    <n v="11.91"/>
    <n v="17.222999999999999"/>
    <n v="0"/>
    <n v="1.3"/>
    <m/>
    <n v="1.3"/>
    <m/>
    <m/>
    <n v="0"/>
    <m/>
    <m/>
    <m/>
    <m/>
    <m/>
    <n v="0"/>
  </r>
  <r>
    <s v="173"/>
    <s v="1425 Multisectoral Food Safety &amp; Nutrition Project"/>
    <e v="#NAME?"/>
    <e v="#N/A"/>
    <s v="01"/>
    <s v="Agriculture"/>
    <s v="010"/>
    <x v="11"/>
    <x v="11"/>
    <s v="1425"/>
    <s v="Multisectoral Food Safety &amp; Nutrition Project"/>
    <x v="0"/>
    <d v="2016-07-01T00:00:00"/>
    <d v="2022-06-30T00:00:00"/>
    <n v="6.6"/>
    <n v="91.22"/>
    <n v="97.82"/>
    <n v="0"/>
    <n v="1.3"/>
    <m/>
    <n v="1.3"/>
    <m/>
    <m/>
    <n v="0"/>
    <m/>
    <m/>
    <m/>
    <m/>
    <m/>
    <n v="0"/>
  </r>
  <r>
    <s v="174"/>
    <s v="1444 Agriculture Value Chain Development"/>
    <e v="#NAME?"/>
    <e v="#N/A"/>
    <s v="01"/>
    <s v="Agriculture"/>
    <s v="010"/>
    <x v="11"/>
    <x v="11"/>
    <s v="1444"/>
    <s v="Agriculture Value Chain Development"/>
    <x v="0"/>
    <d v="2017-07-01T00:00:00"/>
    <d v="2023-06-30T00:00:00"/>
    <n v="37.874000000000002"/>
    <n v="368.35199999999998"/>
    <n v="406.226"/>
    <n v="0"/>
    <n v="4.2"/>
    <n v="21.9"/>
    <n v="26.099999999999998"/>
    <n v="4.2"/>
    <n v="21.9"/>
    <n v="26.099999999999998"/>
    <m/>
    <m/>
    <m/>
    <m/>
    <m/>
    <n v="0"/>
  </r>
  <r>
    <s v="175"/>
    <s v="1493 Developing A Market-Oriented And Environmentally Sustainable Beef Meat Industry In Uganda"/>
    <e v="#NAME?"/>
    <e v="#N/A"/>
    <s v="01"/>
    <s v="Agriculture"/>
    <s v="010"/>
    <x v="11"/>
    <x v="11"/>
    <s v="1493"/>
    <s v="Developing A Market-Oriented And Environmentally Sustainable Beef Meat Industry In Uganda"/>
    <x v="0"/>
    <d v="2017-07-01T00:00:00"/>
    <d v="2022-06-30T00:00:00"/>
    <n v="1.3169999999999999"/>
    <n v="43.79"/>
    <n v="45.106999999999999"/>
    <n v="0"/>
    <n v="0.72"/>
    <n v="9.48"/>
    <n v="10.200000000000001"/>
    <m/>
    <m/>
    <n v="0"/>
    <m/>
    <m/>
    <m/>
    <m/>
    <m/>
    <n v="0"/>
  </r>
  <r>
    <s v="176"/>
    <s v="1508 National Oil Palm Project"/>
    <e v="#NAME?"/>
    <e v="#N/A"/>
    <s v="01"/>
    <s v="Agriculture"/>
    <s v="010"/>
    <x v="11"/>
    <x v="11"/>
    <s v="1508"/>
    <s v="National Oil Palm Project"/>
    <x v="0"/>
    <d v="2018-07-01T00:00:00"/>
    <d v="2023-06-30T00:00:00"/>
    <n v="80"/>
    <n v="740"/>
    <n v="820"/>
    <n v="0"/>
    <n v="16"/>
    <n v="148"/>
    <n v="164"/>
    <n v="16"/>
    <n v="148"/>
    <n v="164"/>
    <m/>
    <m/>
    <m/>
    <m/>
    <m/>
    <n v="0"/>
  </r>
  <r>
    <s v="177"/>
    <s v="1663 China-Uganda South-South Cooperation Project Phase III"/>
    <e v="#NAME?"/>
    <e v="#N/A"/>
    <s v="01"/>
    <s v="Agriculture"/>
    <s v="010"/>
    <x v="11"/>
    <x v="11"/>
    <s v="1663"/>
    <s v="China-Uganda South-South Cooperation Project Phase III"/>
    <x v="0"/>
    <d v="2020-07-01T00:00:00"/>
    <d v="2025-06-30T00:00:00"/>
    <n v="44.44"/>
    <m/>
    <n v="44.44"/>
    <n v="0"/>
    <n v="8.8879999999999999"/>
    <m/>
    <n v="8.8879999999999999"/>
    <n v="8.8879999999999999"/>
    <m/>
    <n v="8.8879999999999999"/>
    <n v="8.8879999999999999"/>
    <m/>
    <n v="8.8879999999999999"/>
    <n v="8.8879999999999999"/>
    <m/>
    <n v="8.8879999999999999"/>
  </r>
  <r>
    <s v="178"/>
    <s v="1696 Development of Sustainable Cashew  Nut Value Chain in Uganda "/>
    <e v="#NAME?"/>
    <e v="#N/A"/>
    <s v="01"/>
    <s v="Agriculture"/>
    <s v="010"/>
    <x v="11"/>
    <x v="11"/>
    <s v="1696"/>
    <s v="Development of Sustainable Cashew  Nut Value Chain in Uganda "/>
    <x v="0"/>
    <d v="2020-07-01T00:00:00"/>
    <d v="2025-06-30T00:00:00"/>
    <n v="100"/>
    <m/>
    <n v="100"/>
    <n v="0"/>
    <n v="20"/>
    <m/>
    <n v="20"/>
    <n v="20"/>
    <m/>
    <n v="20"/>
    <n v="20"/>
    <m/>
    <n v="20"/>
    <n v="20"/>
    <m/>
    <n v="20"/>
  </r>
  <r>
    <s v="179"/>
    <s v="1698 Establishment of Value addition and Agro processing plants in Uganda"/>
    <e v="#NAME?"/>
    <e v="#N/A"/>
    <s v="01"/>
    <s v="Agriculture"/>
    <s v="010"/>
    <x v="11"/>
    <x v="11"/>
    <s v="1698"/>
    <s v="Establishment of Value addition and Agro processing plants in Uganda"/>
    <x v="0"/>
    <d v="2020-07-01T00:00:00"/>
    <d v="2025-06-30T00:00:00"/>
    <n v="600"/>
    <m/>
    <n v="600"/>
    <n v="0"/>
    <n v="120"/>
    <m/>
    <n v="120"/>
    <n v="120"/>
    <m/>
    <n v="120"/>
    <n v="120"/>
    <m/>
    <n v="120"/>
    <n v="120"/>
    <m/>
    <n v="120"/>
  </r>
  <r>
    <s v="180"/>
    <s v="1325  NAGRC Strategic Intervention for Animal Genetics Improvement Project"/>
    <e v="#NAME?"/>
    <e v="#N/A"/>
    <s v="01"/>
    <s v="Agriculture"/>
    <s v="125"/>
    <x v="11"/>
    <x v="11"/>
    <s v="1325"/>
    <s v=" NAGRC Strategic Intervention for Animal Genetics Improvement Project"/>
    <x v="0"/>
    <d v="2015-07-01T00:00:00"/>
    <d v="2022-06-30T00:00:00"/>
    <n v="118"/>
    <m/>
    <n v="118"/>
    <n v="0"/>
    <n v="61.34"/>
    <m/>
    <n v="61.34"/>
    <m/>
    <m/>
    <n v="0"/>
    <m/>
    <m/>
    <n v="0"/>
    <m/>
    <m/>
    <n v="0"/>
  </r>
  <r>
    <s v="181"/>
    <s v="1560 Relocation and Operationalisation of the National Livestock Resources Research Institute (NALIRRI)"/>
    <e v="#NAME?"/>
    <e v="#N/A"/>
    <s v="01"/>
    <s v="Agriculture"/>
    <s v="142"/>
    <x v="11"/>
    <x v="11"/>
    <s v="1560"/>
    <s v="Relocation and Operationalisation of the National Livestock Resources Research Institute (NALIRRI)"/>
    <x v="0"/>
    <d v="2020-06-30T00:00:00"/>
    <d v="2024-06-30T00:00:00"/>
    <n v="2"/>
    <m/>
    <n v="2"/>
    <n v="0"/>
    <n v="1.3"/>
    <m/>
    <n v="1.3"/>
    <n v="1.3"/>
    <m/>
    <n v="1.3"/>
    <n v="1.3"/>
    <m/>
    <n v="1.3"/>
    <m/>
    <m/>
    <n v="0"/>
  </r>
  <r>
    <s v="182"/>
    <s v="1395 The maize seed and cotton production project under Uganda Prisons Service"/>
    <e v="#NAME?"/>
    <e v="#N/A"/>
    <s v="12"/>
    <s v="Justice, Law and Order"/>
    <s v="145"/>
    <x v="11"/>
    <x v="11"/>
    <s v="1395"/>
    <s v="The maize seed and cotton production project under Uganda Prisons Service"/>
    <x v="0"/>
    <d v="2016-07-01T00:00:00"/>
    <d v="2022-06-30T00:00:00"/>
    <n v="135.03"/>
    <m/>
    <n v="135.03"/>
    <n v="0"/>
    <n v="10.519"/>
    <m/>
    <n v="10.519"/>
    <m/>
    <m/>
    <n v="0"/>
    <m/>
    <m/>
    <m/>
    <m/>
    <m/>
    <n v="0"/>
  </r>
  <r>
    <s v="183"/>
    <s v="1521 Resource Enhancement and Accountability Programme (REAP) Key Result Area 1A &amp; 2A"/>
    <e v="#NAME?"/>
    <e v="#N/A"/>
    <s v="14"/>
    <s v="Accountability"/>
    <s v="008"/>
    <x v="16"/>
    <x v="16"/>
    <s v="1521"/>
    <s v="Resource Enhancement and Accountability Programme (REAP) Key Result Area 1A &amp; 2A"/>
    <x v="0"/>
    <d v="2019-07-01T00:00:00"/>
    <d v="2022-06-30T00:00:00"/>
    <m/>
    <n v="271.03906677800001"/>
    <n v="271.03906677800001"/>
    <n v="0"/>
    <n v="45.35"/>
    <n v="24.14"/>
    <n v="69.490000000000009"/>
    <m/>
    <m/>
    <n v="0"/>
    <m/>
    <m/>
    <m/>
    <m/>
    <m/>
    <n v="0"/>
  </r>
  <r>
    <s v="184"/>
    <s v="1400 Regional Communication Infrastructure"/>
    <e v="#NAME?"/>
    <e v="#N/A"/>
    <s v="05"/>
    <s v="ICT and National Guidance"/>
    <s v="126"/>
    <x v="3"/>
    <x v="3"/>
    <s v="1400"/>
    <s v="Regional Communication Infrastructure"/>
    <x v="0"/>
    <d v="2020-07-01T00:00:00"/>
    <d v="2022-06-30T00:00:00"/>
    <m/>
    <n v="277.5"/>
    <n v="277.5"/>
    <n v="0"/>
    <n v="1.62"/>
    <n v="74.77"/>
    <n v="76.39"/>
    <m/>
    <m/>
    <n v="0"/>
    <m/>
    <m/>
    <n v="0"/>
    <m/>
    <m/>
    <n v="0"/>
  </r>
  <r>
    <s v="185"/>
    <s v="1615 Government Network (GOVNET) Project "/>
    <e v="#NAME?"/>
    <e v="#N/A"/>
    <s v="05"/>
    <s v="ICT and National Guidance"/>
    <s v="126"/>
    <x v="3"/>
    <x v="3"/>
    <s v="1615"/>
    <s v="Government Network (GOVNET) Project "/>
    <x v="0"/>
    <d v="2020-07-01T00:00:00"/>
    <d v="2025-06-30T00:00:00"/>
    <m/>
    <n v="615.39"/>
    <n v="615.39"/>
    <n v="0"/>
    <n v="4.46"/>
    <m/>
    <n v="4.46"/>
    <n v="4.46"/>
    <m/>
    <n v="4.46"/>
    <n v="4.46"/>
    <m/>
    <n v="4.46"/>
    <n v="4.46"/>
    <m/>
    <n v="4.46"/>
  </r>
  <r>
    <s v="186"/>
    <s v="0023 Defence Equipment Project"/>
    <e v="#NAME?"/>
    <e v="#N/A"/>
    <s v="11"/>
    <s v="Security"/>
    <s v="004"/>
    <x v="7"/>
    <x v="7"/>
    <s v="0023"/>
    <s v="Defence Equipment Project"/>
    <x v="0"/>
    <d v="2008-07-01T00:00:00"/>
    <d v="2025-06-30T00:00:00"/>
    <n v="13100"/>
    <m/>
    <n v="13100"/>
    <n v="0"/>
    <n v="3275"/>
    <m/>
    <n v="3275"/>
    <n v="3275"/>
    <m/>
    <n v="3275"/>
    <n v="3275"/>
    <m/>
    <n v="3275"/>
    <n v="3275"/>
    <m/>
    <n v="3275"/>
  </r>
  <r>
    <s v="187"/>
    <s v="1178 UPDF Peace Keeping Mission in Somalia (AMISOM)"/>
    <e v="#NAME?"/>
    <e v="#N/A"/>
    <s v="11"/>
    <s v="Security"/>
    <s v="004"/>
    <x v="7"/>
    <x v="7"/>
    <s v="1178"/>
    <s v="UPDF Peace Keeping Mission in Somalia (AMISOM)"/>
    <x v="0"/>
    <d v="2009-07-01T00:00:00"/>
    <d v="2022-06-30T00:00:00"/>
    <m/>
    <n v="2172"/>
    <n v="2172"/>
    <n v="0"/>
    <m/>
    <n v="362.93299999999999"/>
    <n v="362.93299999999999"/>
    <m/>
    <m/>
    <n v="0"/>
    <m/>
    <m/>
    <m/>
    <m/>
    <m/>
    <n v="0"/>
  </r>
  <r>
    <s v="188"/>
    <s v="1702 Construction of National Military Museum Project"/>
    <e v="#NAME?"/>
    <e v="#N/A"/>
    <s v="11"/>
    <s v="Security"/>
    <s v="004"/>
    <x v="7"/>
    <x v="7"/>
    <s v="1702"/>
    <s v="Construction of National Military Museum Project"/>
    <x v="0"/>
    <d v="2006-07-01T00:00:00"/>
    <d v="2022-06-30T00:00:00"/>
    <n v="62.720999999999997"/>
    <m/>
    <n v="62.720999999999997"/>
    <n v="0"/>
    <n v="11.8"/>
    <m/>
    <n v="11.8"/>
    <n v="17.178000000000001"/>
    <m/>
    <n v="17.178000000000001"/>
    <n v="21.443999999999999"/>
    <m/>
    <n v="21.443999999999999"/>
    <n v="12.298"/>
    <m/>
    <n v="12.298"/>
  </r>
  <r>
    <s v="189"/>
    <s v="1556 Construction of the Supreme Court and Court of Appeal Building"/>
    <e v="#NAME?"/>
    <e v="#N/A"/>
    <s v="12"/>
    <s v="Justice, Law and Order"/>
    <s v="101"/>
    <x v="7"/>
    <x v="7"/>
    <s v="1556"/>
    <s v="Construction of the Supreme Court and Court of Appeal Building"/>
    <x v="0"/>
    <d v="2020-06-30T00:00:00"/>
    <d v="2022-06-30T00:00:00"/>
    <n v="20"/>
    <m/>
    <n v="20"/>
    <n v="0"/>
    <n v="20"/>
    <m/>
    <n v="20"/>
    <m/>
    <m/>
    <n v="0"/>
    <m/>
    <m/>
    <m/>
    <m/>
    <m/>
    <n v="0"/>
  </r>
  <r>
    <s v="190"/>
    <s v="1346 Enhancing Prosecution Services for all (EPSFA)"/>
    <e v="#NAME?"/>
    <e v="#N/A"/>
    <s v="12"/>
    <s v="Justice, Law and Order"/>
    <s v="133"/>
    <x v="7"/>
    <x v="7"/>
    <s v="1346"/>
    <s v="Enhancing Prosecution Services for all (EPSFA)"/>
    <x v="0"/>
    <d v="2017-07-01T00:00:00"/>
    <d v="2022-06-30T00:00:00"/>
    <n v="47.256999999999998"/>
    <m/>
    <n v="47.256999999999998"/>
    <n v="0"/>
    <n v="0.6"/>
    <m/>
    <n v="0.6"/>
    <m/>
    <m/>
    <n v="0"/>
    <m/>
    <m/>
    <m/>
    <m/>
    <m/>
    <n v="0"/>
  </r>
  <r>
    <s v="191"/>
    <s v="0385 Assistance to Uganda Police"/>
    <e v="#NAME?"/>
    <e v="#N/A"/>
    <s v="12"/>
    <s v="Justice, Law and Order"/>
    <s v="144"/>
    <x v="7"/>
    <x v="7"/>
    <s v="0385"/>
    <s v="Assistance to Uganda Police"/>
    <x v="0"/>
    <d v="2010-07-01T00:00:00"/>
    <d v="2022-06-30T00:00:00"/>
    <n v="1033.6669999999999"/>
    <m/>
    <n v="1033.6669999999999"/>
    <n v="0"/>
    <n v="55.8"/>
    <m/>
    <n v="55.8"/>
    <m/>
    <m/>
    <n v="0"/>
    <m/>
    <m/>
    <m/>
    <m/>
    <m/>
    <n v="0"/>
  </r>
  <r>
    <s v="192"/>
    <s v="1356 Uganda National Examination Board (UNEB) Infrastructure Development Project"/>
    <e v="#NAME?"/>
    <e v="#N/A"/>
    <s v="07"/>
    <s v="Education"/>
    <s v="128"/>
    <x v="0"/>
    <x v="0"/>
    <s v="1356"/>
    <s v="Uganda National Examination Board (UNEB) Infrastructure Development Project"/>
    <x v="0"/>
    <d v="2015-07-01T00:00:00"/>
    <d v="2022-06-30T00:00:00"/>
    <n v="37.143000000000001"/>
    <m/>
    <n v="37.143000000000001"/>
    <n v="0"/>
    <n v="11.23"/>
    <m/>
    <n v="11.23"/>
    <m/>
    <m/>
    <n v="0"/>
    <m/>
    <m/>
    <n v="0"/>
    <m/>
    <m/>
    <n v="0"/>
  </r>
  <r>
    <s v="193"/>
    <s v="1414 Support to Lira University Infrastructure Development"/>
    <e v="#NAME?"/>
    <e v="#N/A"/>
    <s v="07"/>
    <s v="Education"/>
    <s v="301"/>
    <x v="0"/>
    <x v="0"/>
    <s v="1414"/>
    <s v="Support to Lira University Infrastructure Development"/>
    <x v="0"/>
    <d v="2015-07-01T00:00:00"/>
    <d v="2022-06-30T00:00:00"/>
    <n v="57.779672497"/>
    <m/>
    <n v="57.779672497"/>
    <n v="0"/>
    <n v="6.85"/>
    <m/>
    <n v="6.85"/>
    <m/>
    <m/>
    <n v="0"/>
    <m/>
    <m/>
    <n v="0"/>
    <m/>
    <m/>
    <n v="0"/>
  </r>
  <r>
    <s v="194"/>
    <s v="1415 Support to NCDC Infrastructure Development"/>
    <e v="#NAME?"/>
    <e v="#N/A"/>
    <s v="07"/>
    <s v="Education"/>
    <s v="303"/>
    <x v="0"/>
    <x v="0"/>
    <s v="1415"/>
    <s v="Support to NCDC Infrastructure Development"/>
    <x v="0"/>
    <d v="2015-07-01T00:00:00"/>
    <d v="2022-06-30T00:00:00"/>
    <n v="28"/>
    <m/>
    <n v="28"/>
    <n v="0"/>
    <n v="120.2"/>
    <m/>
    <n v="120.2"/>
    <m/>
    <m/>
    <n v="0"/>
    <m/>
    <m/>
    <n v="0"/>
    <m/>
    <m/>
    <n v="0"/>
  </r>
  <r>
    <s v="195"/>
    <s v="1120 Uganda Cancer Institute Project"/>
    <e v="#NAME?"/>
    <e v="#N/A"/>
    <s v="08"/>
    <s v="Health"/>
    <s v="114"/>
    <x v="0"/>
    <x v="0"/>
    <s v="1120"/>
    <s v="Uganda Cancer Institute Project"/>
    <x v="0"/>
    <d v="2010-07-01T00:00:00"/>
    <d v="2022-06-30T00:00:00"/>
    <n v="78.599000000000004"/>
    <m/>
    <n v="78.599000000000004"/>
    <n v="0"/>
    <n v="10.609"/>
    <m/>
    <n v="10.609"/>
    <m/>
    <m/>
    <n v="0"/>
    <m/>
    <m/>
    <n v="0"/>
    <m/>
    <m/>
    <n v="0"/>
  </r>
  <r>
    <s v="196"/>
    <s v="1345 ADB Support to UCI"/>
    <e v="#NAME?"/>
    <e v="#N/A"/>
    <s v="08"/>
    <s v="Health"/>
    <s v="114"/>
    <x v="0"/>
    <x v="0"/>
    <s v="1345"/>
    <s v="ADB Support to UCI"/>
    <x v="0"/>
    <d v="2015-07-01T00:00:00"/>
    <d v="2022-06-30T00:00:00"/>
    <n v="10.8"/>
    <n v="108.509"/>
    <n v="119.309"/>
    <n v="0"/>
    <n v="1.98"/>
    <n v="57.28"/>
    <n v="59.26"/>
    <m/>
    <m/>
    <n v="0"/>
    <m/>
    <m/>
    <n v="0"/>
    <m/>
    <m/>
    <n v="0"/>
  </r>
  <r>
    <s v="197"/>
    <s v="1527 Establishment of an Oncology Centre in Northern Uganda"/>
    <e v="#NAME?"/>
    <e v="#N/A"/>
    <s v="08"/>
    <s v="Health"/>
    <s v="114"/>
    <x v="0"/>
    <x v="0"/>
    <s v="1527"/>
    <s v="Establishment of an Oncology Centre in Northern Uganda"/>
    <x v="0"/>
    <d v="2019-07-01T00:00:00"/>
    <d v="2022-06-30T00:00:00"/>
    <n v="23"/>
    <m/>
    <n v="23"/>
    <n v="0"/>
    <n v="0.3"/>
    <m/>
    <n v="0.3"/>
    <m/>
    <m/>
    <n v="0"/>
    <m/>
    <m/>
    <n v="0"/>
    <m/>
    <m/>
    <n v="0"/>
  </r>
  <r>
    <s v="198"/>
    <s v="1526 Uganda Heart Institute Infrastructure Development Project"/>
    <e v="#NAME?"/>
    <e v="#N/A"/>
    <s v="08"/>
    <s v="Health"/>
    <s v="115"/>
    <x v="0"/>
    <x v="0"/>
    <s v="1526"/>
    <s v="Uganda Heart Institute Infrastructure Development Project"/>
    <x v="0"/>
    <d v="2019-07-01T00:00:00"/>
    <d v="2022-06-30T00:00:00"/>
    <n v="232"/>
    <m/>
    <n v="232"/>
    <n v="0"/>
    <n v="0.15"/>
    <m/>
    <n v="0.15"/>
    <m/>
    <m/>
    <n v="0"/>
    <m/>
    <m/>
    <n v="0"/>
    <m/>
    <m/>
    <n v="0"/>
  </r>
  <r>
    <s v="199"/>
    <s v="1442 UVRI Infrastructual Development Project"/>
    <e v="#NAME?"/>
    <e v="#N/A"/>
    <s v="08"/>
    <s v="Health"/>
    <s v="304"/>
    <x v="0"/>
    <x v="0"/>
    <s v="1442"/>
    <s v="UVRI Infrastructual Development Project"/>
    <x v="0"/>
    <d v="2017-07-01T00:00:00"/>
    <d v="2022-06-30T00:00:00"/>
    <n v="20.05"/>
    <m/>
    <n v="20.05"/>
    <n v="0"/>
    <n v="2.1"/>
    <m/>
    <n v="2.1"/>
    <m/>
    <m/>
    <n v="0"/>
    <m/>
    <m/>
    <n v="0"/>
    <m/>
    <m/>
    <n v="0"/>
  </r>
  <r>
    <s v="200"/>
    <s v="1488 Chemical Safety &amp;Security (CHESASE) Project"/>
    <e v="#NAME?"/>
    <e v="#N/A"/>
    <s v="10"/>
    <s v="Social Development"/>
    <s v="018"/>
    <x v="0"/>
    <x v="0"/>
    <s v="1488"/>
    <s v="Chemical Safety &amp;Security (CHESASE) Project"/>
    <x v="0"/>
    <d v="2017-07-01T00:00:00"/>
    <d v="2022-06-30T00:00:00"/>
    <n v="24.105"/>
    <m/>
    <n v="24.105"/>
    <n v="0"/>
    <n v="1"/>
    <m/>
    <n v="1"/>
    <m/>
    <m/>
    <n v="0"/>
    <m/>
    <m/>
    <n v="0"/>
    <m/>
    <m/>
    <n v="0"/>
  </r>
  <r>
    <s v="201"/>
    <s v="1515 Strengthening Social Risk Management and Gender – Based Violence Prevention and Response Project"/>
    <e v="#NAME?"/>
    <e v="#N/A"/>
    <s v="10"/>
    <s v="Social Development"/>
    <s v="018"/>
    <x v="0"/>
    <x v="0"/>
    <s v="1515"/>
    <s v="Strengthening Social Risk Management and Gender – Based Violence Prevention and Response Project"/>
    <x v="0"/>
    <d v="2018-07-01T00:00:00"/>
    <d v="2022-06-30T00:00:00"/>
    <m/>
    <n v="149"/>
    <n v="149"/>
    <n v="0"/>
    <m/>
    <m/>
    <n v="0"/>
    <m/>
    <m/>
    <n v="0"/>
    <m/>
    <m/>
    <n v="0"/>
    <m/>
    <m/>
    <n v="0"/>
  </r>
  <r>
    <s v="202"/>
    <s v="1557 Youth Livelihood Project Phase II"/>
    <e v="#NAME?"/>
    <e v="#N/A"/>
    <s v="10"/>
    <s v="Social Development"/>
    <s v="018"/>
    <x v="0"/>
    <x v="0"/>
    <s v="1557"/>
    <s v="Youth Livelihood Project Phase II"/>
    <x v="0"/>
    <d v="2019-07-01T00:00:00"/>
    <d v="2022-06-30T00:00:00"/>
    <n v="514.74"/>
    <m/>
    <n v="514.74"/>
    <n v="0"/>
    <m/>
    <m/>
    <n v="0"/>
    <m/>
    <m/>
    <n v="0"/>
    <m/>
    <m/>
    <n v="0"/>
    <m/>
    <m/>
    <n v="0"/>
  </r>
  <r>
    <s v="203"/>
    <s v="1658 Kampala City Roads Rehabilitation Project"/>
    <e v="#NAME?"/>
    <e v="#N/A"/>
    <s v="04"/>
    <s v="Works and Transport"/>
    <s v="122"/>
    <x v="1"/>
    <x v="1"/>
    <s v="1658"/>
    <s v="Kampala City Roads Rehabilitation Project"/>
    <x v="0"/>
    <d v="2020-07-01T00:00:00"/>
    <d v="2025-06-30T00:00:00"/>
    <m/>
    <n v="1075"/>
    <n v="1075"/>
    <n v="0"/>
    <n v="13.16"/>
    <n v="95.3"/>
    <n v="108.46"/>
    <n v="13.16"/>
    <n v="95.3"/>
    <n v="108.46"/>
    <n v="13.16"/>
    <n v="95.3"/>
    <n v="108.46"/>
    <n v="13.16"/>
    <n v="95.3"/>
    <n v="108.46"/>
  </r>
  <r>
    <s v="204"/>
    <s v="1443 Revitalisation of Prison Industries  "/>
    <e v="#NAME?"/>
    <e v="#N/A"/>
    <s v="12"/>
    <s v="Justice, Law and Order"/>
    <s v="145"/>
    <x v="17"/>
    <x v="17"/>
    <s v="1443"/>
    <s v="Revitalisation of Prison Industries  "/>
    <x v="0"/>
    <d v="2017-07-01T00:00:00"/>
    <d v="2022-06-30T00:00:00"/>
    <n v="32.718904000000002"/>
    <m/>
    <n v="32.718904000000002"/>
    <n v="0"/>
    <n v="4.82"/>
    <m/>
    <n v="4.82"/>
    <m/>
    <m/>
    <n v="0"/>
    <m/>
    <m/>
    <m/>
    <m/>
    <m/>
    <n v="0"/>
  </r>
  <r>
    <s v="205"/>
    <s v="0994 Development of Industrial Parks"/>
    <e v="#NAME?"/>
    <e v="#N/A"/>
    <s v="14"/>
    <s v="Accountability"/>
    <s v="310"/>
    <x v="17"/>
    <x v="17"/>
    <s v="0994"/>
    <s v="Development of Industrial Parks"/>
    <x v="0"/>
    <d v="2007-07-01T00:00:00"/>
    <d v="2022-06-30T00:00:00"/>
    <n v="200"/>
    <m/>
    <n v="200"/>
    <n v="0"/>
    <n v="1.1060000000000001"/>
    <n v="101.456"/>
    <n v="102.562"/>
    <m/>
    <m/>
    <n v="0"/>
    <m/>
    <m/>
    <m/>
    <m/>
    <m/>
    <n v="0"/>
  </r>
  <r>
    <s v="206"/>
    <s v="1612 National Petroleum Data Repository Infrastructure"/>
    <e v="#NAME?"/>
    <e v="#N/A"/>
    <s v="03"/>
    <s v="Energy and Mineral Development"/>
    <s v="312"/>
    <x v="6"/>
    <x v="6"/>
    <s v="1612"/>
    <s v="National Petroleum Data Repository Infrastructure"/>
    <x v="0"/>
    <d v="2020-07-01T00:00:00"/>
    <d v="2025-06-30T00:00:00"/>
    <n v="133.55000000000001"/>
    <m/>
    <n v="133.55000000000001"/>
    <n v="0"/>
    <n v="26.71"/>
    <m/>
    <n v="26.71"/>
    <n v="26.71"/>
    <m/>
    <n v="26.71"/>
    <n v="26.71"/>
    <m/>
    <n v="26.71"/>
    <n v="26.71"/>
    <m/>
    <n v="26.71"/>
  </r>
  <r>
    <s v="207"/>
    <s v="1288 Financial Inclusion in Rural Areas [PROFIRA] of Uganda"/>
    <e v="#NAME?"/>
    <e v="#N/A"/>
    <s v="14"/>
    <s v="Accountability"/>
    <s v="008"/>
    <x v="8"/>
    <x v="8"/>
    <s v="1288"/>
    <s v="Financial Inclusion in Rural Areas [PROFIRA] of Uganda"/>
    <x v="0"/>
    <d v="2014-07-01T00:00:00"/>
    <d v="2022-06-30T00:00:00"/>
    <n v="14.252000000000001"/>
    <n v="90.858999999999995"/>
    <n v="105.11099999999999"/>
    <n v="0"/>
    <n v="2.84"/>
    <n v="37.369999999999997"/>
    <n v="40.209999999999994"/>
    <m/>
    <m/>
    <n v="0"/>
    <m/>
    <m/>
    <m/>
    <m/>
    <m/>
    <n v="0"/>
  </r>
  <r>
    <s v="208"/>
    <s v="1706 Investment for Industrial Transformation and Employment Project"/>
    <e v="#NAME?"/>
    <e v="#N/A"/>
    <s v="14"/>
    <s v="Accountability"/>
    <s v="008"/>
    <x v="8"/>
    <x v="8"/>
    <s v="1706"/>
    <s v="Investment for Industrial Transformation and Employment Project"/>
    <x v="0"/>
    <d v="2021-07-01T00:00:00"/>
    <d v="2026-06-30T00:00:00"/>
    <m/>
    <n v="1665"/>
    <n v="1665"/>
    <n v="0"/>
    <m/>
    <n v="725.2"/>
    <n v="725.2"/>
    <m/>
    <n v="234.95"/>
    <n v="234.95"/>
    <m/>
    <n v="234.95"/>
    <m/>
    <m/>
    <n v="234.95"/>
    <n v="234.95"/>
  </r>
  <r>
    <s v="209"/>
    <s v="1618 Retooling of Ministry Agriculture, Animal Industry and Fisheries"/>
    <e v="#NAME?"/>
    <e v="#N/A"/>
    <s v="01"/>
    <s v="Agriculture"/>
    <s v="010"/>
    <x v="2"/>
    <x v="2"/>
    <s v="1618"/>
    <s v="Retooling of Ministry Agriculture, Animal Industry and Fisheries"/>
    <x v="1"/>
    <d v="2020-07-01T00:00:00"/>
    <d v="2025-06-30T00:00:00"/>
    <n v="62.32"/>
    <m/>
    <n v="62.32"/>
    <n v="0"/>
    <n v="12.464"/>
    <m/>
    <n v="12.464"/>
    <n v="12.464"/>
    <m/>
    <n v="12.464"/>
    <n v="12.464"/>
    <m/>
    <n v="12.464"/>
    <n v="12.464"/>
    <m/>
    <n v="12.464"/>
  </r>
  <r>
    <s v="210"/>
    <s v="1683 Retooling of Uganda Coffee Development Authority"/>
    <e v="#NAME?"/>
    <e v="#N/A"/>
    <s v="01"/>
    <s v="Agriculture"/>
    <s v="160"/>
    <x v="2"/>
    <x v="2"/>
    <s v="1683"/>
    <s v="Retooling of Uganda Coffee Development Authority"/>
    <x v="1"/>
    <d v="2020-07-01T00:00:00"/>
    <d v="2025-06-30T00:00:00"/>
    <n v="22.347000000000001"/>
    <m/>
    <n v="22.347000000000001"/>
    <n v="0"/>
    <n v="4.4694000000000003"/>
    <m/>
    <n v="4.4694000000000003"/>
    <n v="4.4694000000000003"/>
    <m/>
    <n v="4.4694000000000003"/>
    <n v="4.4694000000000003"/>
    <m/>
    <n v="4.4694000000000003"/>
    <n v="4.4694000000000003"/>
    <m/>
    <n v="4.4694000000000003"/>
  </r>
  <r>
    <s v="211"/>
    <s v="1633 Retooling of Uganda Land Commission"/>
    <e v="#NAME?"/>
    <e v="#N/A"/>
    <s v="02"/>
    <s v="Lands, Housing and Urban Development"/>
    <s v="156"/>
    <x v="2"/>
    <x v="2"/>
    <s v="1633"/>
    <s v="Retooling of Uganda Land Commission"/>
    <x v="1"/>
    <d v="2020-07-01T00:00:00"/>
    <d v="2025-06-30T00:00:00"/>
    <n v="10.35"/>
    <m/>
    <n v="10.35"/>
    <n v="0"/>
    <n v="2.0699999999999998"/>
    <m/>
    <n v="2.0699999999999998"/>
    <n v="2.0699999999999998"/>
    <m/>
    <n v="2.0699999999999998"/>
    <n v="2.0699999999999998"/>
    <m/>
    <n v="2.0699999999999998"/>
    <n v="2.0699999999999998"/>
    <m/>
    <n v="2.0699999999999998"/>
  </r>
  <r>
    <s v="212"/>
    <s v="1596 Retooling of Petroleum Authority of Uganda"/>
    <e v="#NAME?"/>
    <e v="#N/A"/>
    <s v="03"/>
    <s v="Energy and Mineral Development"/>
    <s v="312"/>
    <x v="2"/>
    <x v="2"/>
    <s v="1596"/>
    <s v="Retooling of Petroleum Authority of Uganda"/>
    <x v="1"/>
    <d v="2020-07-01T00:00:00"/>
    <d v="2025-06-30T00:00:00"/>
    <n v="59.86"/>
    <m/>
    <n v="59.86"/>
    <n v="0"/>
    <n v="11.972"/>
    <m/>
    <n v="11.972"/>
    <n v="11.972"/>
    <m/>
    <n v="11.972"/>
    <n v="11.972"/>
    <m/>
    <n v="11.972"/>
    <n v="11.972"/>
    <m/>
    <n v="11.972"/>
  </r>
  <r>
    <s v="213"/>
    <s v="1616 Retooling of Uganda National Roads Authority"/>
    <e v="#NAME?"/>
    <e v="#N/A"/>
    <s v="04"/>
    <s v="Works and Transport"/>
    <s v="113"/>
    <x v="2"/>
    <x v="2"/>
    <s v="1616"/>
    <s v="Retooling of Uganda National Roads Authority"/>
    <x v="1"/>
    <d v="2020-07-01T00:00:00"/>
    <d v="2025-06-30T00:00:00"/>
    <n v="373.78"/>
    <n v="0"/>
    <n v="373.78"/>
    <n v="0"/>
    <n v="74.756"/>
    <m/>
    <n v="74.756"/>
    <n v="74.756"/>
    <m/>
    <n v="74.756"/>
    <n v="74.756"/>
    <m/>
    <n v="74.756"/>
    <n v="74.756"/>
    <m/>
    <n v="74.756"/>
  </r>
  <r>
    <s v="214"/>
    <s v="1677 Retooling of Uganda Road Fund"/>
    <e v="#NAME?"/>
    <e v="#N/A"/>
    <s v="04"/>
    <s v="Works and Transport"/>
    <s v="118"/>
    <x v="2"/>
    <x v="2"/>
    <s v="1677"/>
    <s v="Retooling of Uganda Road Fund"/>
    <x v="1"/>
    <d v="2020-07-01T00:00:00"/>
    <d v="2025-06-30T00:00:00"/>
    <n v="46.18"/>
    <m/>
    <n v="46.18"/>
    <n v="0"/>
    <n v="9.2360000000000007"/>
    <m/>
    <n v="9.2360000000000007"/>
    <n v="9.2360000000000007"/>
    <m/>
    <n v="9.2360000000000007"/>
    <n v="9.2360000000000007"/>
    <m/>
    <n v="9.2360000000000007"/>
    <n v="9.2360000000000007"/>
    <m/>
    <n v="9.2360000000000007"/>
  </r>
  <r>
    <s v="215"/>
    <s v="1653 Retooling of National Information &amp; Technology Authority"/>
    <e v="#NAME?"/>
    <e v="#N/A"/>
    <s v="05"/>
    <s v="ICT and National Guidance"/>
    <s v="126"/>
    <x v="2"/>
    <x v="2"/>
    <s v="1653"/>
    <s v="Retooling of National Information &amp; Technology Authority"/>
    <x v="1"/>
    <d v="2020-07-01T00:00:00"/>
    <d v="2025-06-30T00:00:00"/>
    <n v="1.3545"/>
    <m/>
    <n v="1.3545"/>
    <n v="0"/>
    <n v="0.27090000000000003"/>
    <m/>
    <n v="0.27090000000000003"/>
    <n v="0.27090000000000003"/>
    <m/>
    <n v="0.27090000000000003"/>
    <n v="0.27090000000000003"/>
    <m/>
    <n v="0.27090000000000003"/>
    <n v="0.27090000000000003"/>
    <m/>
    <n v="0.27090000000000003"/>
  </r>
  <r>
    <s v="216"/>
    <s v="1601 Retooling of Ministry of Education and Sports"/>
    <e v="#NAME?"/>
    <e v="#N/A"/>
    <s v="07"/>
    <s v="Education"/>
    <s v="013"/>
    <x v="2"/>
    <x v="2"/>
    <s v="1601"/>
    <s v="Retooling of Ministry of Education and Sports"/>
    <x v="1"/>
    <d v="2020-07-01T00:00:00"/>
    <d v="2025-06-30T00:00:00"/>
    <n v="22"/>
    <n v="0"/>
    <n v="22"/>
    <n v="0"/>
    <n v="4.4000000000000004"/>
    <m/>
    <n v="4.4000000000000004"/>
    <n v="4.4000000000000004"/>
    <m/>
    <n v="4.4000000000000004"/>
    <n v="4.4000000000000004"/>
    <m/>
    <n v="4.4000000000000004"/>
    <n v="4.4000000000000004"/>
    <m/>
    <n v="4.4000000000000004"/>
  </r>
  <r>
    <s v="217"/>
    <s v="1606 Retooling of Busitema University"/>
    <e v="#NAME?"/>
    <e v="#N/A"/>
    <s v="07"/>
    <s v="Education"/>
    <s v="111"/>
    <x v="2"/>
    <x v="2"/>
    <s v="1606"/>
    <s v="Retooling of Busitema University"/>
    <x v="1"/>
    <d v="2020-07-01T00:00:00"/>
    <d v="2025-06-30T00:00:00"/>
    <n v="11.77"/>
    <m/>
    <n v="11.77"/>
    <n v="0"/>
    <n v="2.3540000000000001"/>
    <m/>
    <n v="2.3540000000000001"/>
    <n v="2.3540000000000001"/>
    <m/>
    <n v="2.3540000000000001"/>
    <n v="2.3540000000000001"/>
    <m/>
    <n v="2.3540000000000001"/>
    <n v="2.3540000000000001"/>
    <m/>
    <n v="2.3540000000000001"/>
  </r>
  <r>
    <s v="218"/>
    <s v="1685 Retooling of Muni University"/>
    <e v="#NAME?"/>
    <e v="#N/A"/>
    <s v="07"/>
    <s v="Education"/>
    <s v="127"/>
    <x v="2"/>
    <x v="2"/>
    <s v="1685"/>
    <s v="Retooling of Muni University"/>
    <x v="1"/>
    <d v="2020-07-01T00:00:00"/>
    <d v="2025-06-30T00:00:00"/>
    <n v="4.2"/>
    <m/>
    <n v="4.2"/>
    <n v="0"/>
    <n v="0.84000000000000008"/>
    <m/>
    <n v="0.84000000000000008"/>
    <n v="0.84000000000000008"/>
    <m/>
    <n v="0.84000000000000008"/>
    <n v="0.84000000000000008"/>
    <m/>
    <n v="0.84000000000000008"/>
    <n v="0.84000000000000008"/>
    <m/>
    <n v="0.84000000000000008"/>
  </r>
  <r>
    <s v="219"/>
    <s v="1649 Retooling of Uganda National Examinations Board"/>
    <e v="#NAME?"/>
    <e v="#N/A"/>
    <s v="07"/>
    <s v="Education"/>
    <s v="128"/>
    <x v="2"/>
    <x v="2"/>
    <s v="1649"/>
    <s v="Retooling of Uganda National Examinations Board"/>
    <x v="1"/>
    <d v="2020-07-01T00:00:00"/>
    <d v="2025-06-30T00:00:00"/>
    <n v="38.49"/>
    <n v="0"/>
    <n v="38.49"/>
    <n v="0"/>
    <n v="7.6980000000000004"/>
    <m/>
    <n v="7.6980000000000004"/>
    <n v="7.6980000000000004"/>
    <m/>
    <n v="7.6980000000000004"/>
    <n v="7.6980000000000004"/>
    <m/>
    <n v="7.6980000000000004"/>
    <n v="7.6980000000000004"/>
    <m/>
    <n v="7.6980000000000004"/>
  </r>
  <r>
    <s v="220"/>
    <s v="1602 Retooling of Education service Commission"/>
    <e v="#NAME?"/>
    <e v="#N/A"/>
    <s v="07"/>
    <s v="Education"/>
    <s v="132"/>
    <x v="2"/>
    <x v="2"/>
    <s v="1602"/>
    <s v="Retooling of Education service Commission"/>
    <x v="1"/>
    <d v="2020-07-01T00:00:00"/>
    <d v="2025-06-30T00:00:00"/>
    <n v="11.8"/>
    <m/>
    <n v="11.8"/>
    <n v="0"/>
    <n v="2.3600000000000003"/>
    <m/>
    <n v="2.3600000000000003"/>
    <n v="2.3600000000000003"/>
    <m/>
    <n v="2.3600000000000003"/>
    <n v="2.3600000000000003"/>
    <m/>
    <n v="2.3600000000000003"/>
    <n v="2.3600000000000003"/>
    <m/>
    <n v="2.3600000000000003"/>
  </r>
  <r>
    <s v="221"/>
    <s v="1603 Retooling of Makerere University"/>
    <e v="#NAME?"/>
    <e v="#N/A"/>
    <s v="07"/>
    <s v="Education"/>
    <s v="136"/>
    <x v="2"/>
    <x v="2"/>
    <s v="1603"/>
    <s v="Retooling of Makerere University"/>
    <x v="1"/>
    <d v="2020-07-01T00:00:00"/>
    <d v="2025-06-30T00:00:00"/>
    <n v="500"/>
    <m/>
    <n v="500"/>
    <n v="0"/>
    <n v="100"/>
    <m/>
    <n v="100"/>
    <n v="100"/>
    <m/>
    <n v="100"/>
    <n v="100"/>
    <m/>
    <n v="100"/>
    <n v="100"/>
    <m/>
    <n v="100"/>
  </r>
  <r>
    <s v="222"/>
    <s v="1607 Retooling of Makerere University Business School"/>
    <e v="#NAME?"/>
    <e v="#N/A"/>
    <s v="07"/>
    <s v="Education"/>
    <s v="138"/>
    <x v="2"/>
    <x v="2"/>
    <s v="1607"/>
    <s v="Retooling of Makerere University Business School"/>
    <x v="1"/>
    <d v="2020-07-01T00:00:00"/>
    <d v="2025-06-30T00:00:00"/>
    <n v="10"/>
    <m/>
    <n v="10"/>
    <n v="0"/>
    <n v="2"/>
    <m/>
    <n v="2"/>
    <n v="2"/>
    <m/>
    <n v="2"/>
    <n v="2"/>
    <m/>
    <n v="2"/>
    <n v="2"/>
    <m/>
    <n v="2"/>
  </r>
  <r>
    <s v="223"/>
    <s v="1604 Retooling of Kyambogo University"/>
    <e v="#NAME?"/>
    <e v="#N/A"/>
    <s v="07"/>
    <s v="Education"/>
    <s v="139"/>
    <x v="2"/>
    <x v="2"/>
    <s v="1604"/>
    <s v="Retooling of Kyambogo University"/>
    <x v="1"/>
    <d v="2020-07-01T00:00:00"/>
    <d v="2025-06-30T00:00:00"/>
    <n v="24"/>
    <m/>
    <n v="24"/>
    <n v="0"/>
    <n v="4.8"/>
    <m/>
    <n v="4.8"/>
    <n v="4.8"/>
    <m/>
    <n v="4.8"/>
    <n v="4.8"/>
    <m/>
    <n v="4.8"/>
    <n v="4.8"/>
    <m/>
    <n v="4.8"/>
  </r>
  <r>
    <s v="224"/>
    <s v="1608 Retooling of Gulu University"/>
    <e v="#NAME?"/>
    <e v="#N/A"/>
    <s v="07"/>
    <s v="Education"/>
    <s v="149"/>
    <x v="2"/>
    <x v="2"/>
    <s v="1608"/>
    <s v="Retooling of Gulu University"/>
    <x v="1"/>
    <d v="2020-07-01T00:00:00"/>
    <d v="2025-06-30T00:00:00"/>
    <n v="44.848766126999998"/>
    <m/>
    <n v="44.848766126999998"/>
    <n v="0"/>
    <n v="13.659071757"/>
    <m/>
    <n v="13.659071757"/>
    <n v="12"/>
    <m/>
    <n v="12"/>
    <n v="2.9220451199999999"/>
    <m/>
    <n v="2.9220451199999999"/>
    <n v="2.9220451199999999"/>
    <m/>
    <n v="2.9220451199999999"/>
  </r>
  <r>
    <s v="225"/>
    <s v="1464 Institutional Support to Lira University - Retooling"/>
    <e v="#NAME?"/>
    <e v="#N/A"/>
    <s v="07"/>
    <s v="Education"/>
    <s v="301"/>
    <x v="2"/>
    <x v="2"/>
    <s v="1464"/>
    <s v="Institutional Support to Lira University - Retooling"/>
    <x v="1"/>
    <d v="2017-07-01T00:00:00"/>
    <d v="2022-06-30T00:00:00"/>
    <n v="5.8570000000000002"/>
    <m/>
    <n v="5.8570000000000002"/>
    <n v="0"/>
    <n v="2"/>
    <m/>
    <n v="2"/>
    <m/>
    <m/>
    <n v="0"/>
    <m/>
    <m/>
    <n v="0"/>
    <m/>
    <m/>
    <n v="0"/>
  </r>
  <r>
    <s v="226"/>
    <s v="1681 Retooling of National Curriculum Development Centre"/>
    <e v="#NAME?"/>
    <e v="#N/A"/>
    <s v="07"/>
    <s v="Education"/>
    <s v="303"/>
    <x v="2"/>
    <x v="2"/>
    <s v="1681"/>
    <s v="Retooling of National Curriculum Development Centre"/>
    <x v="1"/>
    <d v="2020-07-01T00:00:00"/>
    <d v="2025-06-30T00:00:00"/>
    <n v="22.3"/>
    <m/>
    <n v="22.3"/>
    <n v="0"/>
    <n v="4.46"/>
    <m/>
    <n v="4.46"/>
    <n v="4.46"/>
    <m/>
    <n v="4.46"/>
    <n v="4.46"/>
    <m/>
    <n v="4.46"/>
    <n v="4.46"/>
    <m/>
    <n v="4.46"/>
  </r>
  <r>
    <s v="227"/>
    <s v="1605 Retooling of Kabale University"/>
    <e v="#NAME?"/>
    <e v="#N/A"/>
    <s v="07"/>
    <s v="Education"/>
    <s v="307"/>
    <x v="2"/>
    <x v="2"/>
    <s v="1605"/>
    <s v="Retooling of Kabale University"/>
    <x v="1"/>
    <d v="2020-07-01T00:00:00"/>
    <d v="2025-06-30T00:00:00"/>
    <n v="35.050031584000003"/>
    <m/>
    <n v="35.050031584000003"/>
    <n v="0"/>
    <n v="9.0239813669999993"/>
    <m/>
    <n v="9.0239813669999993"/>
    <n v="5.0312852299999999"/>
    <m/>
    <n v="5.0312852299999999"/>
    <n v="5.6835598799999998"/>
    <m/>
    <n v="5.6835598799999998"/>
    <n v="7.7061227499999996"/>
    <m/>
    <n v="7.7061227499999996"/>
  </r>
  <r>
    <s v="228"/>
    <s v="1634 Retooling of Uganda AIDS Commission"/>
    <e v="#NAME?"/>
    <e v="#N/A"/>
    <s v="08"/>
    <s v="Health"/>
    <s v="107"/>
    <x v="2"/>
    <x v="2"/>
    <s v="1634"/>
    <s v="Retooling of Uganda AIDS Commission"/>
    <x v="1"/>
    <d v="2020-07-01T00:00:00"/>
    <d v="2025-06-30T00:00:00"/>
    <n v="9.25"/>
    <m/>
    <n v="9.25"/>
    <n v="0"/>
    <n v="1.85"/>
    <m/>
    <n v="1.85"/>
    <n v="1.85"/>
    <m/>
    <n v="1.85"/>
    <n v="1.85"/>
    <m/>
    <n v="1.85"/>
    <n v="1.85"/>
    <m/>
    <n v="1.85"/>
  </r>
  <r>
    <s v="229"/>
    <s v="1570 Retooling of Uganda Cancer Institute"/>
    <e v="#NAME?"/>
    <e v="#N/A"/>
    <s v="08"/>
    <s v="Health"/>
    <s v="114"/>
    <x v="2"/>
    <x v="2"/>
    <s v="1570"/>
    <s v="Retooling of Uganda Cancer Institute"/>
    <x v="1"/>
    <d v="2020-07-01T00:00:00"/>
    <d v="2022-06-30T00:00:00"/>
    <n v="5.65"/>
    <m/>
    <n v="5.65"/>
    <n v="0"/>
    <n v="1.1300000000000001"/>
    <m/>
    <n v="1.1300000000000001"/>
    <n v="1.1300000000000001"/>
    <m/>
    <n v="1.1300000000000001"/>
    <n v="1.1300000000000001"/>
    <m/>
    <n v="1.1300000000000001"/>
    <n v="1.1300000000000001"/>
    <m/>
    <n v="1.1300000000000001"/>
  </r>
  <r>
    <s v="230"/>
    <s v="1568 Retooling of Uganda Heart Institute"/>
    <e v="#NAME?"/>
    <e v="#N/A"/>
    <s v="08"/>
    <s v="Health"/>
    <s v="115"/>
    <x v="2"/>
    <x v="2"/>
    <s v="1568"/>
    <s v="Retooling of Uganda Heart Institute"/>
    <x v="1"/>
    <d v="2020-07-01T00:00:00"/>
    <d v="2022-06-30T00:00:00"/>
    <n v="47"/>
    <m/>
    <n v="47"/>
    <n v="0"/>
    <n v="9.4"/>
    <m/>
    <n v="9.4"/>
    <n v="9.4"/>
    <m/>
    <n v="9.4"/>
    <n v="9.4"/>
    <m/>
    <n v="9.4"/>
    <n v="9.4"/>
    <m/>
    <n v="9.4"/>
  </r>
  <r>
    <s v="231"/>
    <s v="1567 Retooling of National Medical Stores"/>
    <e v="#NAME?"/>
    <e v="#N/A"/>
    <s v="08"/>
    <s v="Health"/>
    <s v="116"/>
    <x v="2"/>
    <x v="2"/>
    <s v="1567"/>
    <s v="Retooling of National Medical Stores"/>
    <x v="1"/>
    <d v="2020-07-01T00:00:00"/>
    <d v="2022-06-30T00:00:00"/>
    <n v="10.9"/>
    <m/>
    <n v="10.9"/>
    <n v="0"/>
    <n v="2.1800000000000002"/>
    <m/>
    <n v="2.1800000000000002"/>
    <n v="2.1800000000000002"/>
    <m/>
    <n v="2.1800000000000002"/>
    <n v="2.1800000000000002"/>
    <m/>
    <n v="2.1800000000000002"/>
    <n v="2.1800000000000002"/>
    <m/>
    <n v="2.1800000000000002"/>
  </r>
  <r>
    <s v="232"/>
    <s v="1635 Retooling of Health Service Commission"/>
    <e v="#NAME?"/>
    <e v="#N/A"/>
    <s v="08"/>
    <s v="Health"/>
    <s v="134"/>
    <x v="2"/>
    <x v="2"/>
    <s v="1635"/>
    <s v="Retooling of Health Service Commission"/>
    <x v="1"/>
    <d v="2020-07-01T00:00:00"/>
    <d v="2022-06-30T00:00:00"/>
    <n v="14.8"/>
    <m/>
    <n v="14.8"/>
    <n v="0"/>
    <n v="2.96"/>
    <m/>
    <n v="2.96"/>
    <n v="2.96"/>
    <m/>
    <n v="2.96"/>
    <n v="2.96"/>
    <m/>
    <n v="2.96"/>
    <n v="2.96"/>
    <m/>
    <n v="2.96"/>
  </r>
  <r>
    <s v="233"/>
    <s v="1672 Retooling of Uganda Blood Transfusion services"/>
    <e v="#NAME?"/>
    <e v="#N/A"/>
    <s v="08"/>
    <s v="Health"/>
    <s v="151"/>
    <x v="2"/>
    <x v="2"/>
    <s v="1672"/>
    <s v="Retooling of Uganda Blood Transfusion services"/>
    <x v="1"/>
    <d v="2020-07-01T00:00:00"/>
    <d v="2022-06-30T00:00:00"/>
    <n v="30.8"/>
    <m/>
    <n v="30.8"/>
    <n v="0"/>
    <n v="6.16"/>
    <m/>
    <n v="6.16"/>
    <n v="6.16"/>
    <m/>
    <n v="6.16"/>
    <n v="6.16"/>
    <m/>
    <n v="6.16"/>
    <n v="6.16"/>
    <m/>
    <n v="6.16"/>
  </r>
  <r>
    <s v="234"/>
    <s v="1637 Retooling of Mulago National Referral Hospital"/>
    <e v="#NAME?"/>
    <e v="#N/A"/>
    <s v="08"/>
    <s v="Health"/>
    <s v="161"/>
    <x v="2"/>
    <x v="2"/>
    <s v="1637"/>
    <s v="Retooling of Mulago National Referral Hospital"/>
    <x v="1"/>
    <d v="2020-07-01T00:00:00"/>
    <d v="2022-06-30T00:00:00"/>
    <n v="24.8"/>
    <m/>
    <n v="24.8"/>
    <n v="0"/>
    <n v="4.96"/>
    <m/>
    <n v="4.96"/>
    <n v="4.96"/>
    <m/>
    <n v="4.96"/>
    <n v="4.96"/>
    <m/>
    <n v="4.96"/>
    <n v="4.96"/>
    <m/>
    <n v="4.96"/>
  </r>
  <r>
    <s v="235"/>
    <s v="1572 Retooling of Butabika National Referral Hospital"/>
    <e v="#NAME?"/>
    <e v="#N/A"/>
    <s v="08"/>
    <s v="Health"/>
    <s v="162"/>
    <x v="2"/>
    <x v="2"/>
    <s v="1572"/>
    <s v="Retooling of Butabika National Referral Hospital"/>
    <x v="1"/>
    <d v="2020-07-01T00:00:00"/>
    <d v="2022-06-30T00:00:00"/>
    <n v="5.53"/>
    <m/>
    <n v="5.53"/>
    <n v="0"/>
    <n v="1.1060000000000001"/>
    <m/>
    <n v="1.1060000000000001"/>
    <n v="1.1060000000000001"/>
    <m/>
    <n v="1.1060000000000001"/>
    <n v="1.1060000000000001"/>
    <m/>
    <n v="1.1060000000000001"/>
    <n v="1.1060000000000001"/>
    <m/>
    <n v="1.1060000000000001"/>
  </r>
  <r>
    <s v="236"/>
    <s v="1581 Retooling of Arua Rehabilitation Referral Hospital"/>
    <e v="#NAME?"/>
    <e v="#N/A"/>
    <s v="08"/>
    <s v="Health"/>
    <s v="163"/>
    <x v="2"/>
    <x v="2"/>
    <s v="1581"/>
    <s v="Retooling of Arua Rehabilitation Referral Hospital"/>
    <x v="1"/>
    <d v="2020-07-01T00:00:00"/>
    <d v="2022-06-30T00:00:00"/>
    <n v="4.4000000000000004"/>
    <m/>
    <n v="4.4000000000000004"/>
    <n v="0"/>
    <n v="0.88000000000000012"/>
    <m/>
    <n v="0.88000000000000012"/>
    <n v="0.88000000000000012"/>
    <m/>
    <n v="0.88000000000000012"/>
    <n v="0.88000000000000012"/>
    <m/>
    <n v="0.88000000000000012"/>
    <n v="0.88000000000000012"/>
    <m/>
    <n v="0.88000000000000012"/>
  </r>
  <r>
    <s v="237"/>
    <s v="1576 Retooling of Fort Portal Regional Referral Hospital"/>
    <e v="#NAME?"/>
    <e v="#N/A"/>
    <s v="08"/>
    <s v="Health"/>
    <s v="164"/>
    <x v="2"/>
    <x v="2"/>
    <s v="1576"/>
    <s v="Retooling of Fort Portal Regional Referral Hospital"/>
    <x v="1"/>
    <d v="2020-07-01T00:00:00"/>
    <d v="2022-06-30T00:00:00"/>
    <n v="1.8"/>
    <m/>
    <n v="1.8"/>
    <n v="0"/>
    <n v="0.36"/>
    <m/>
    <n v="0.36"/>
    <n v="0.36"/>
    <m/>
    <n v="0.36"/>
    <n v="0.36"/>
    <m/>
    <n v="0.36"/>
    <n v="0.36"/>
    <m/>
    <n v="0.36"/>
  </r>
  <r>
    <s v="238"/>
    <s v="1585 Retooling of Gulu Regional Referral Hospital"/>
    <e v="#NAME?"/>
    <e v="#N/A"/>
    <s v="08"/>
    <s v="Health"/>
    <s v="165"/>
    <x v="2"/>
    <x v="2"/>
    <s v="1585"/>
    <s v="Retooling of Gulu Regional Referral Hospital"/>
    <x v="1"/>
    <d v="2020-07-01T00:00:00"/>
    <d v="2022-06-30T00:00:00"/>
    <n v="4"/>
    <m/>
    <n v="4"/>
    <n v="0"/>
    <n v="0.8"/>
    <m/>
    <n v="0.8"/>
    <n v="0.8"/>
    <m/>
    <n v="0.8"/>
    <n v="0.8"/>
    <m/>
    <n v="0.8"/>
    <n v="0.8"/>
    <m/>
    <n v="0.8"/>
  </r>
  <r>
    <s v="239"/>
    <s v="1584 Retooling of Hoima Regional Referral Hospital"/>
    <e v="#NAME?"/>
    <e v="#N/A"/>
    <s v="08"/>
    <s v="Health"/>
    <s v="166"/>
    <x v="2"/>
    <x v="2"/>
    <s v="1584"/>
    <s v="Retooling of Hoima Regional Referral Hospital"/>
    <x v="1"/>
    <d v="2020-07-01T00:00:00"/>
    <d v="2022-06-30T00:00:00"/>
    <n v="4.8"/>
    <m/>
    <n v="4.8"/>
    <n v="0"/>
    <n v="0.96"/>
    <m/>
    <n v="0.96"/>
    <n v="0.96"/>
    <m/>
    <n v="0.96"/>
    <n v="0.96"/>
    <m/>
    <n v="0.96"/>
    <n v="0.96"/>
    <m/>
    <n v="0.96"/>
  </r>
  <r>
    <s v="240"/>
    <s v="1636 Retooling of Jinja Regional Referral Hospital"/>
    <e v="#NAME?"/>
    <e v="#N/A"/>
    <s v="08"/>
    <s v="Health"/>
    <s v="167"/>
    <x v="2"/>
    <x v="2"/>
    <s v="1636"/>
    <s v="Retooling of Jinja Regional Referral Hospital"/>
    <x v="1"/>
    <d v="2020-07-01T00:00:00"/>
    <d v="2022-06-30T00:00:00"/>
    <n v="200"/>
    <m/>
    <n v="200"/>
    <n v="0"/>
    <n v="40"/>
    <m/>
    <n v="40"/>
    <n v="40"/>
    <m/>
    <n v="40"/>
    <n v="40"/>
    <m/>
    <n v="40"/>
    <n v="40"/>
    <m/>
    <n v="40"/>
  </r>
  <r>
    <s v="241"/>
    <s v="1582 Retooling of Kabale Regional Referral Hospital"/>
    <e v="#NAME?"/>
    <e v="#N/A"/>
    <s v="08"/>
    <s v="Health"/>
    <s v="168"/>
    <x v="2"/>
    <x v="2"/>
    <s v="1582"/>
    <s v="Retooling of Kabale Regional Referral Hospital"/>
    <x v="1"/>
    <d v="2020-07-01T00:00:00"/>
    <d v="2022-06-30T00:00:00"/>
    <n v="5"/>
    <m/>
    <n v="5"/>
    <n v="0"/>
    <n v="1"/>
    <m/>
    <n v="1"/>
    <n v="1"/>
    <m/>
    <n v="1"/>
    <n v="1"/>
    <m/>
    <n v="1"/>
    <n v="1"/>
    <m/>
    <n v="1"/>
  </r>
  <r>
    <s v="242"/>
    <s v="1586 Retooling of Masaka Regional Referral Hospital"/>
    <e v="#NAME?"/>
    <e v="#N/A"/>
    <s v="08"/>
    <s v="Health"/>
    <s v="169"/>
    <x v="2"/>
    <x v="2"/>
    <s v="1586"/>
    <s v="Retooling of Masaka Regional Referral Hospital"/>
    <x v="1"/>
    <d v="2020-07-01T00:00:00"/>
    <d v="2022-06-30T00:00:00"/>
    <n v="5"/>
    <m/>
    <n v="5"/>
    <n v="0"/>
    <n v="1"/>
    <m/>
    <n v="1"/>
    <n v="1"/>
    <m/>
    <n v="1"/>
    <n v="1"/>
    <m/>
    <n v="1"/>
    <n v="1"/>
    <m/>
    <n v="1"/>
  </r>
  <r>
    <s v="243"/>
    <s v="1580 Retooling of Mbale Regional Referral Hospital"/>
    <e v="#NAME?"/>
    <e v="#N/A"/>
    <s v="08"/>
    <s v="Health"/>
    <s v="170"/>
    <x v="2"/>
    <x v="2"/>
    <s v="1580"/>
    <s v="Retooling of Mbale Regional Referral Hospital"/>
    <x v="1"/>
    <d v="2020-07-01T00:00:00"/>
    <d v="2022-06-30T00:00:00"/>
    <n v="20"/>
    <m/>
    <n v="20"/>
    <n v="0"/>
    <n v="4"/>
    <m/>
    <n v="4"/>
    <n v="4"/>
    <m/>
    <n v="4"/>
    <n v="4"/>
    <m/>
    <n v="4"/>
    <n v="4"/>
    <m/>
    <n v="4"/>
  </r>
  <r>
    <s v="244"/>
    <s v="1587 Retooling of Soroti Regional Referral Hospital"/>
    <e v="#NAME?"/>
    <e v="#N/A"/>
    <s v="08"/>
    <s v="Health"/>
    <s v="171"/>
    <x v="2"/>
    <x v="2"/>
    <s v="1587"/>
    <s v="Retooling of Soroti Regional Referral Hospital"/>
    <x v="1"/>
    <d v="2020-07-01T00:00:00"/>
    <d v="2022-06-30T00:00:00"/>
    <n v="5"/>
    <m/>
    <n v="5"/>
    <n v="0"/>
    <n v="1"/>
    <m/>
    <n v="1"/>
    <n v="1"/>
    <m/>
    <n v="1"/>
    <n v="1"/>
    <m/>
    <n v="1"/>
    <n v="1"/>
    <m/>
    <n v="1"/>
  </r>
  <r>
    <s v="245"/>
    <s v="1583 Retooling of Lira Regional Hospital"/>
    <e v="#NAME?"/>
    <e v="#N/A"/>
    <s v="08"/>
    <s v="Health"/>
    <s v="172"/>
    <x v="2"/>
    <x v="2"/>
    <s v="1583"/>
    <s v="Retooling of Lira Regional Hospital"/>
    <x v="1"/>
    <d v="2020-07-01T00:00:00"/>
    <d v="2022-06-30T00:00:00"/>
    <n v="1.1000000000000001"/>
    <m/>
    <n v="1.1000000000000001"/>
    <n v="0"/>
    <n v="0.22000000000000003"/>
    <m/>
    <n v="0.22000000000000003"/>
    <n v="0.22000000000000003"/>
    <m/>
    <n v="0.22000000000000003"/>
    <n v="0.22000000000000003"/>
    <m/>
    <n v="0.22000000000000003"/>
    <n v="0.22000000000000003"/>
    <m/>
    <n v="0.22000000000000003"/>
  </r>
  <r>
    <s v="246"/>
    <s v="1578 Retooling of Mbarara Regional Referral Hospital"/>
    <e v="#NAME?"/>
    <e v="#N/A"/>
    <s v="08"/>
    <s v="Health"/>
    <s v="173"/>
    <x v="2"/>
    <x v="2"/>
    <s v="1578"/>
    <s v="Retooling of Mbarara Regional Referral Hospital"/>
    <x v="1"/>
    <d v="2020-07-01T00:00:00"/>
    <d v="2022-06-30T00:00:00"/>
    <n v="7.5"/>
    <m/>
    <n v="7.5"/>
    <n v="0"/>
    <n v="1.5"/>
    <m/>
    <n v="1.5"/>
    <n v="1.5"/>
    <m/>
    <n v="1.5"/>
    <n v="1.5"/>
    <m/>
    <n v="1.5"/>
    <n v="1.5"/>
    <m/>
    <n v="1.5"/>
  </r>
  <r>
    <s v="247"/>
    <s v="1579 Retooling of Mubende Regional Referral Hospital"/>
    <e v="#NAME?"/>
    <e v="#N/A"/>
    <s v="08"/>
    <s v="Health"/>
    <s v="174"/>
    <x v="2"/>
    <x v="2"/>
    <s v="1579"/>
    <s v="Retooling of Mubende Regional Referral Hospital"/>
    <x v="1"/>
    <d v="2020-07-01T00:00:00"/>
    <d v="2022-06-30T00:00:00"/>
    <n v="4.2"/>
    <m/>
    <n v="4.2"/>
    <n v="0"/>
    <n v="0.84000000000000008"/>
    <m/>
    <n v="0.84000000000000008"/>
    <n v="0.84000000000000008"/>
    <m/>
    <n v="0.84000000000000008"/>
    <n v="0.84000000000000008"/>
    <m/>
    <n v="0.84000000000000008"/>
    <n v="0.84000000000000008"/>
    <m/>
    <n v="0.84000000000000008"/>
  </r>
  <r>
    <s v="248"/>
    <s v="1577 Retooling of Moroto Rehabilitation Referral Hospital"/>
    <e v="#NAME?"/>
    <e v="#N/A"/>
    <s v="08"/>
    <s v="Health"/>
    <s v="175"/>
    <x v="2"/>
    <x v="2"/>
    <s v="1577"/>
    <s v="Retooling of Moroto Rehabilitation Referral Hospital"/>
    <x v="1"/>
    <d v="2020-07-01T00:00:00"/>
    <d v="2022-06-30T00:00:00"/>
    <n v="2.7"/>
    <m/>
    <n v="2.7"/>
    <n v="0"/>
    <n v="0.54"/>
    <m/>
    <n v="0.54"/>
    <n v="0.54"/>
    <m/>
    <n v="0.54"/>
    <n v="0.54"/>
    <m/>
    <n v="0.54"/>
    <n v="0.54"/>
    <m/>
    <n v="0.54"/>
  </r>
  <r>
    <s v="249"/>
    <s v="1571 Retooling of National Trauma Centre, Naguru"/>
    <e v="#NAME?"/>
    <e v="#N/A"/>
    <s v="08"/>
    <s v="Health"/>
    <s v="176"/>
    <x v="2"/>
    <x v="2"/>
    <s v="1571"/>
    <s v="Retooling of National Trauma Centre, Naguru"/>
    <x v="1"/>
    <d v="2020-07-01T00:00:00"/>
    <d v="2022-06-30T00:00:00"/>
    <n v="46"/>
    <m/>
    <n v="46"/>
    <n v="0"/>
    <n v="9.1999999999999993"/>
    <m/>
    <n v="9.1999999999999993"/>
    <n v="9.1999999999999993"/>
    <m/>
    <n v="9.1999999999999993"/>
    <n v="9.1999999999999993"/>
    <m/>
    <n v="9.1999999999999993"/>
    <n v="9.1999999999999993"/>
    <m/>
    <n v="9.1999999999999993"/>
  </r>
  <r>
    <s v="250"/>
    <s v="1574 Retooling of to Kiruddu National Referral Hospital"/>
    <e v="#NAME?"/>
    <e v="#N/A"/>
    <s v="08"/>
    <s v="Health"/>
    <s v="177"/>
    <x v="2"/>
    <x v="2"/>
    <s v="1574"/>
    <s v="Retooling of to Kiruddu National Referral Hospital"/>
    <x v="1"/>
    <d v="2020-07-01T00:00:00"/>
    <d v="2022-06-30T00:00:00"/>
    <n v="15"/>
    <m/>
    <n v="15"/>
    <n v="0"/>
    <n v="3"/>
    <m/>
    <n v="3"/>
    <n v="3"/>
    <m/>
    <n v="3"/>
    <n v="3"/>
    <m/>
    <n v="3"/>
    <n v="3"/>
    <m/>
    <n v="3"/>
  </r>
  <r>
    <s v="251"/>
    <s v="1575 Retooling of Kawempe National Referral Hospital"/>
    <e v="#NAME?"/>
    <e v="#N/A"/>
    <s v="08"/>
    <s v="Health"/>
    <s v="178"/>
    <x v="2"/>
    <x v="2"/>
    <s v="1575"/>
    <s v="Retooling of Kawempe National Referral Hospital"/>
    <x v="1"/>
    <d v="2020-07-01T00:00:00"/>
    <d v="2022-06-30T00:00:00"/>
    <n v="5.9"/>
    <m/>
    <n v="5.9"/>
    <n v="0"/>
    <n v="1.1800000000000002"/>
    <m/>
    <n v="1.1800000000000002"/>
    <n v="1.1800000000000002"/>
    <m/>
    <n v="1.1800000000000002"/>
    <n v="1.1800000000000002"/>
    <m/>
    <n v="1.1800000000000002"/>
    <n v="1.1800000000000002"/>
    <m/>
    <n v="1.1800000000000002"/>
  </r>
  <r>
    <s v="252"/>
    <s v="1588 Retooling of Entebbe Regional Referral Hospital"/>
    <e v="#NAME?"/>
    <e v="#N/A"/>
    <s v="08"/>
    <s v="Health"/>
    <s v="179"/>
    <x v="2"/>
    <x v="2"/>
    <s v="1588"/>
    <s v="Retooling of Entebbe Regional Referral Hospital"/>
    <x v="1"/>
    <d v="2020-07-01T00:00:00"/>
    <d v="2022-06-30T00:00:00"/>
    <n v="9.1"/>
    <m/>
    <n v="9.1"/>
    <n v="0"/>
    <n v="1.8199999999999998"/>
    <m/>
    <n v="1.8199999999999998"/>
    <n v="1.8199999999999998"/>
    <m/>
    <n v="1.8199999999999998"/>
    <n v="1.8199999999999998"/>
    <m/>
    <n v="1.8199999999999998"/>
    <n v="1.8199999999999998"/>
    <m/>
    <n v="1.8199999999999998"/>
  </r>
  <r>
    <s v="253"/>
    <s v="1573 Retooling of Mulago Specialised Women and Neonatal Hospital"/>
    <e v="#NAME?"/>
    <e v="#N/A"/>
    <s v="08"/>
    <s v="Health"/>
    <s v="180"/>
    <x v="2"/>
    <x v="2"/>
    <s v="1573"/>
    <s v="Retooling of Mulago Specialised Women and Neonatal Hospital"/>
    <x v="1"/>
    <d v="2020-07-01T00:00:00"/>
    <d v="2022-06-30T00:00:00"/>
    <n v="10.8"/>
    <m/>
    <n v="10.8"/>
    <n v="0"/>
    <n v="2.16"/>
    <m/>
    <n v="2.16"/>
    <n v="2.16"/>
    <m/>
    <n v="2.16"/>
    <n v="2.16"/>
    <m/>
    <n v="2.16"/>
    <n v="2.16"/>
    <m/>
    <n v="2.16"/>
  </r>
  <r>
    <s v="254"/>
    <s v="1569 Retooling of Uganda Virus Research Institute"/>
    <e v="#NAME?"/>
    <e v="#N/A"/>
    <s v="08"/>
    <s v="Health"/>
    <s v="304"/>
    <x v="2"/>
    <x v="2"/>
    <s v="1569"/>
    <s v="Retooling of Uganda Virus Research Institute"/>
    <x v="1"/>
    <d v="2020-07-01T00:00:00"/>
    <d v="2022-06-30T00:00:00"/>
    <n v="6"/>
    <m/>
    <n v="6"/>
    <n v="0"/>
    <n v="1.2"/>
    <m/>
    <n v="1.2"/>
    <n v="1.2"/>
    <m/>
    <n v="1.2"/>
    <n v="1.2"/>
    <m/>
    <n v="1.2"/>
    <n v="1.2"/>
    <m/>
    <n v="1.2"/>
  </r>
  <r>
    <s v="255"/>
    <s v="1638 Retooling of Ministry of Water and Environment"/>
    <e v="#NAME?"/>
    <e v="#N/A"/>
    <s v="09"/>
    <s v="Water and Environment"/>
    <s v="019"/>
    <x v="2"/>
    <x v="2"/>
    <s v="1638"/>
    <s v="Retooling of Ministry of Water and Environment"/>
    <x v="1"/>
    <d v="2020-07-01T00:00:00"/>
    <d v="2022-06-30T00:00:00"/>
    <n v="80.343999999999994"/>
    <n v="0"/>
    <n v="80.343999999999994"/>
    <n v="0"/>
    <n v="10.527442562999999"/>
    <m/>
    <n v="10.527442562999999"/>
    <n v="13.256558947"/>
    <m/>
    <n v="13.256558947"/>
    <n v="15.245042789999999"/>
    <m/>
    <n v="15.245042789999999"/>
    <n v="17.531799207999999"/>
    <m/>
    <n v="17.531799207999999"/>
  </r>
  <r>
    <s v="256"/>
    <s v="1639 Retooling of National Environment Management Authority"/>
    <e v="#NAME?"/>
    <e v="#N/A"/>
    <s v="09"/>
    <s v="Water and Environment"/>
    <s v="150"/>
    <x v="2"/>
    <x v="2"/>
    <s v="1639"/>
    <s v="Retooling of National Environment Management Authority"/>
    <x v="1"/>
    <d v="2020-07-01T00:00:00"/>
    <d v="2022-06-30T00:00:00"/>
    <n v="0.99"/>
    <m/>
    <n v="0.99"/>
    <n v="0"/>
    <n v="0.19800000000000001"/>
    <m/>
    <n v="0.19800000000000001"/>
    <n v="0.19800000000000001"/>
    <m/>
    <n v="0.19800000000000001"/>
    <n v="0.19800000000000001"/>
    <m/>
    <n v="0.19800000000000001"/>
    <n v="0.19800000000000001"/>
    <m/>
    <n v="0.19800000000000001"/>
  </r>
  <r>
    <s v="257"/>
    <s v="1678 Retooling of Uganda National Meteorological Authority"/>
    <e v="#NAME?"/>
    <e v="#N/A"/>
    <s v="09"/>
    <s v="Water and Environment"/>
    <s v="302"/>
    <x v="2"/>
    <x v="2"/>
    <s v="1678"/>
    <s v="Retooling of Uganda National Meteorological Authority"/>
    <x v="1"/>
    <d v="2020-07-01T00:00:00"/>
    <d v="2022-06-30T00:00:00"/>
    <n v="19.361000000000001"/>
    <m/>
    <n v="19.361000000000001"/>
    <n v="0"/>
    <n v="3.8722000000000003"/>
    <m/>
    <n v="3.8722000000000003"/>
    <n v="3.8722000000000003"/>
    <m/>
    <n v="3.8722000000000003"/>
    <n v="3.8722000000000003"/>
    <m/>
    <n v="3.8722000000000003"/>
    <n v="3.8722000000000003"/>
    <m/>
    <n v="3.8722000000000003"/>
  </r>
  <r>
    <s v="258"/>
    <s v="1627 Retooling of Ministry of Gender, Labour and Social Development and its Institutions."/>
    <e v="#NAME?"/>
    <e v="#N/A"/>
    <s v="10"/>
    <s v="Social Development"/>
    <s v="018"/>
    <x v="2"/>
    <x v="2"/>
    <s v="1627"/>
    <s v="Retooling of Ministry of Gender, Labour and Social Development and its Institutions."/>
    <x v="1"/>
    <d v="2020-07-01T00:00:00"/>
    <d v="2022-06-30T00:00:00"/>
    <n v="93.52"/>
    <m/>
    <n v="93.52"/>
    <n v="0"/>
    <n v="18.704000000000001"/>
    <m/>
    <n v="18.704000000000001"/>
    <n v="18.704000000000001"/>
    <m/>
    <n v="18.704000000000001"/>
    <n v="18.704000000000001"/>
    <m/>
    <n v="18.704000000000001"/>
    <n v="18.704000000000001"/>
    <m/>
    <n v="18.704000000000001"/>
  </r>
  <r>
    <s v="259"/>
    <s v="1628 Retooling of  Equal Opportunities Commission"/>
    <e v="#NAME?"/>
    <e v="#N/A"/>
    <s v="10"/>
    <s v="Social Development"/>
    <s v="124"/>
    <x v="2"/>
    <x v="2"/>
    <s v="1628"/>
    <s v="Retooling of  Equal Opportunities Commission"/>
    <x v="1"/>
    <d v="2020-07-01T00:00:00"/>
    <d v="2022-06-30T00:00:00"/>
    <n v="8.3000000000000007"/>
    <m/>
    <n v="8.3000000000000007"/>
    <n v="0"/>
    <n v="1.6600000000000001"/>
    <m/>
    <n v="1.6600000000000001"/>
    <n v="1.6600000000000001"/>
    <m/>
    <n v="1.6600000000000001"/>
    <n v="1.6600000000000001"/>
    <m/>
    <n v="1.6600000000000001"/>
    <n v="1.6600000000000001"/>
    <m/>
    <n v="1.6600000000000001"/>
  </r>
  <r>
    <s v="260"/>
    <s v="1593 Retooling of Internal Security Organization"/>
    <e v="#NAME?"/>
    <s v="1593 Retooling of Internal Security Organization"/>
    <s v="11"/>
    <s v="Security"/>
    <s v="001"/>
    <x v="2"/>
    <x v="2"/>
    <s v="1593"/>
    <s v="Retooling of Internal Security Organization"/>
    <x v="1"/>
    <d v="2020-07-01T00:00:00"/>
    <d v="2022-06-30T00:00:00"/>
    <n v="472.16699999999997"/>
    <m/>
    <n v="472.16699999999997"/>
    <n v="0"/>
    <n v="159.692082"/>
    <m/>
    <n v="159.692082"/>
    <n v="100.613561"/>
    <m/>
    <n v="100.613561"/>
    <n v="126.8891315"/>
    <m/>
    <n v="126.8891315"/>
    <n v="125.11403749999999"/>
    <m/>
    <n v="125.11403749999999"/>
  </r>
  <r>
    <s v="261"/>
    <s v="1630 Retooling of Ministry of Defense and Veteran Affairs"/>
    <e v="#NAME?"/>
    <e v="#N/A"/>
    <s v="11"/>
    <s v="Security"/>
    <s v="004"/>
    <x v="2"/>
    <x v="2"/>
    <s v="1630"/>
    <s v="Retooling of Ministry of Defense and Veteran Affairs"/>
    <x v="1"/>
    <d v="2020-07-01T00:00:00"/>
    <d v="2025-06-30T00:00:00"/>
    <n v="20.9"/>
    <m/>
    <n v="20.9"/>
    <n v="0"/>
    <n v="4.18"/>
    <m/>
    <n v="4.18"/>
    <n v="4.18"/>
    <m/>
    <n v="4.18"/>
    <n v="4.18"/>
    <m/>
    <n v="4.18"/>
    <n v="4.18"/>
    <m/>
    <n v="4.18"/>
  </r>
  <r>
    <s v="262"/>
    <s v="1631 Retooling of External Security Organization"/>
    <e v="#NAME?"/>
    <e v="#N/A"/>
    <s v="11"/>
    <s v="Security"/>
    <s v="159"/>
    <x v="2"/>
    <x v="2"/>
    <s v="1631"/>
    <s v="Retooling of External Security Organization"/>
    <x v="1"/>
    <d v="2020-07-01T00:00:00"/>
    <d v="2025-06-30T00:00:00"/>
    <n v="18.195"/>
    <m/>
    <n v="18.195"/>
    <n v="0"/>
    <n v="3.6390000000000002"/>
    <m/>
    <n v="3.6390000000000002"/>
    <n v="3.6390000000000002"/>
    <m/>
    <n v="3.6390000000000002"/>
    <n v="3.6390000000000002"/>
    <m/>
    <n v="3.6390000000000002"/>
    <n v="3.6390000000000002"/>
    <m/>
    <n v="3.6390000000000002"/>
  </r>
  <r>
    <s v="263"/>
    <s v="1644 Retooling of the Judiciary"/>
    <e v="#NAME?"/>
    <e v="#N/A"/>
    <s v="12"/>
    <s v="Justice, Law and Order"/>
    <s v="101"/>
    <x v="2"/>
    <x v="2"/>
    <s v="1644"/>
    <s v="Retooling of the Judiciary"/>
    <x v="1"/>
    <d v="2020-07-01T00:00:00"/>
    <d v="2022-06-30T00:00:00"/>
    <n v="82.164900000000003"/>
    <m/>
    <n v="82.164900000000003"/>
    <n v="0"/>
    <n v="16.432980000000001"/>
    <m/>
    <n v="16.432980000000001"/>
    <n v="16.432980000000001"/>
    <m/>
    <n v="16.432980000000001"/>
    <n v="16.432980000000001"/>
    <m/>
    <n v="16.432980000000001"/>
    <n v="16.432980000000001"/>
    <m/>
    <n v="16.432980000000001"/>
  </r>
  <r>
    <s v="264"/>
    <s v="1668 Retooling the Uganda Law Reform Commission "/>
    <e v="#NAME?"/>
    <e v="#N/A"/>
    <s v="12"/>
    <s v="Justice, Law and Order"/>
    <s v="105"/>
    <x v="2"/>
    <x v="2"/>
    <s v="1668"/>
    <s v="Retooling the Uganda Law Reform Commission "/>
    <x v="1"/>
    <d v="2020-07-01T00:00:00"/>
    <d v="2022-06-30T00:00:00"/>
    <n v="1.5"/>
    <m/>
    <n v="1.5"/>
    <n v="0"/>
    <n v="0.3"/>
    <m/>
    <n v="0.3"/>
    <n v="0.3"/>
    <m/>
    <n v="0.3"/>
    <n v="0.3"/>
    <m/>
    <n v="0.3"/>
    <n v="0.3"/>
    <m/>
    <n v="0.3"/>
  </r>
  <r>
    <s v="265"/>
    <s v="1670 Retooling the Uganda Human Rights Commission"/>
    <e v="#NAME?"/>
    <e v="#N/A"/>
    <s v="12"/>
    <s v="Justice, Law and Order"/>
    <s v="106"/>
    <x v="2"/>
    <x v="2"/>
    <s v="1670"/>
    <s v="Retooling the Uganda Human Rights Commission"/>
    <x v="1"/>
    <d v="2020-07-01T00:00:00"/>
    <d v="2022-06-30T00:00:00"/>
    <n v="5.1844000000000001"/>
    <m/>
    <n v="5.1844000000000001"/>
    <n v="0"/>
    <n v="1.03688"/>
    <m/>
    <n v="1.03688"/>
    <n v="1.03688"/>
    <m/>
    <n v="1.03688"/>
    <n v="1.03688"/>
    <m/>
    <n v="1.03688"/>
    <n v="1.03688"/>
    <m/>
    <n v="1.03688"/>
  </r>
  <r>
    <s v="266"/>
    <s v="1640 Retooling of the Law Development Centre"/>
    <e v="#NAME?"/>
    <e v="#N/A"/>
    <s v="12"/>
    <s v="Justice, Law and Order"/>
    <s v="109"/>
    <x v="2"/>
    <x v="2"/>
    <s v="1640"/>
    <s v="Retooling of the Law Development Centre"/>
    <x v="1"/>
    <d v="2020-07-01T00:00:00"/>
    <d v="2022-06-30T00:00:00"/>
    <n v="11.093"/>
    <m/>
    <n v="11.093"/>
    <n v="0"/>
    <n v="2.2185999999999999"/>
    <m/>
    <n v="2.2185999999999999"/>
    <n v="2.2185999999999999"/>
    <m/>
    <n v="2.2185999999999999"/>
    <n v="2.2185999999999999"/>
    <m/>
    <n v="2.2185999999999999"/>
    <n v="2.2185999999999999"/>
    <m/>
    <n v="2.2185999999999999"/>
  </r>
  <r>
    <s v="267"/>
    <s v="1648 Retooling of Uganda Registration Services Bureau "/>
    <e v="#NAME?"/>
    <e v="#N/A"/>
    <s v="12"/>
    <s v="Justice, Law and Order"/>
    <s v="119"/>
    <x v="2"/>
    <x v="2"/>
    <s v="1648"/>
    <s v="Retooling of Uganda Registration Services Bureau "/>
    <x v="1"/>
    <d v="2020-07-01T00:00:00"/>
    <d v="2022-06-30T00:00:00"/>
    <n v="15.55"/>
    <m/>
    <n v="15.55"/>
    <n v="0"/>
    <n v="3.1100000000000003"/>
    <m/>
    <n v="3.1100000000000003"/>
    <n v="3.1100000000000003"/>
    <m/>
    <n v="3.1100000000000003"/>
    <n v="3.1100000000000003"/>
    <m/>
    <n v="3.1100000000000003"/>
    <n v="3.1100000000000003"/>
    <m/>
    <n v="3.1100000000000003"/>
  </r>
  <r>
    <s v="268"/>
    <s v="1671 Retooling the National Citizenship and Immigration Control"/>
    <e v="#NAME?"/>
    <e v="#N/A"/>
    <s v="12"/>
    <s v="Justice, Law and Order"/>
    <s v="120"/>
    <x v="2"/>
    <x v="2"/>
    <s v="1671"/>
    <s v="Retooling the National Citizenship and Immigration Control"/>
    <x v="1"/>
    <d v="2020-07-01T00:00:00"/>
    <d v="2022-06-30T00:00:00"/>
    <n v="36.521328124999997"/>
    <m/>
    <n v="36.521328124999997"/>
    <n v="0"/>
    <n v="7.3042656249999993"/>
    <m/>
    <n v="7.3042656249999993"/>
    <n v="7.3042656249999993"/>
    <m/>
    <n v="7.3042656249999993"/>
    <n v="7.3042656249999993"/>
    <m/>
    <n v="7.3042656249999993"/>
    <n v="7.3042656249999993"/>
    <m/>
    <n v="7.3042656249999993"/>
  </r>
  <r>
    <s v="269"/>
    <s v="1645 Retooling of Office of the Director of Public Prosecutions"/>
    <e v="#NAME?"/>
    <e v="#N/A"/>
    <s v="12"/>
    <s v="Justice, Law and Order"/>
    <s v="133"/>
    <x v="2"/>
    <x v="2"/>
    <s v="1645"/>
    <s v="Retooling of Office of the Director of Public Prosecutions"/>
    <x v="1"/>
    <d v="2020-07-01T00:00:00"/>
    <d v="2022-06-30T00:00:00"/>
    <n v="116.292"/>
    <m/>
    <n v="116.292"/>
    <n v="0"/>
    <n v="23.258400000000002"/>
    <m/>
    <n v="23.258400000000002"/>
    <n v="23.258400000000002"/>
    <m/>
    <n v="23.258400000000002"/>
    <n v="23.258400000000002"/>
    <m/>
    <n v="23.258400000000002"/>
    <n v="23.258400000000002"/>
    <m/>
    <n v="23.258400000000002"/>
  </r>
  <r>
    <s v="270"/>
    <s v="1669 Retooling the Uganda Police Force "/>
    <e v="#NAME?"/>
    <e v="#N/A"/>
    <s v="12"/>
    <s v="Justice, Law and Order"/>
    <s v="144"/>
    <x v="2"/>
    <x v="2"/>
    <s v="1669"/>
    <s v="Retooling the Uganda Police Force "/>
    <x v="1"/>
    <d v="2020-07-01T00:00:00"/>
    <d v="2022-06-30T00:00:00"/>
    <n v="2057"/>
    <m/>
    <n v="2057"/>
    <n v="0"/>
    <n v="411.4"/>
    <m/>
    <n v="411.4"/>
    <n v="411.4"/>
    <m/>
    <n v="411.4"/>
    <n v="411.4"/>
    <m/>
    <n v="411.4"/>
    <n v="411.4"/>
    <m/>
    <n v="411.4"/>
  </r>
  <r>
    <s v="271"/>
    <s v="1643 Retooling of Uganda Prisons Service "/>
    <e v="#NAME?"/>
    <e v="#N/A"/>
    <s v="12"/>
    <s v="Justice, Law and Order"/>
    <s v="145"/>
    <x v="2"/>
    <x v="2"/>
    <s v="1643"/>
    <s v="Retooling of Uganda Prisons Service "/>
    <x v="1"/>
    <d v="2020-07-01T00:00:00"/>
    <d v="2022-06-30T00:00:00"/>
    <n v="50.304650000000002"/>
    <m/>
    <n v="50.304650000000002"/>
    <n v="0"/>
    <n v="10.060930000000001"/>
    <m/>
    <n v="10.060930000000001"/>
    <n v="10.060930000000001"/>
    <m/>
    <n v="10.060930000000001"/>
    <n v="10.060930000000001"/>
    <m/>
    <n v="10.060930000000001"/>
    <n v="10.060930000000001"/>
    <m/>
    <n v="10.060930000000001"/>
  </r>
  <r>
    <s v="272"/>
    <s v="1646 Retooling of Judicial Service Commission "/>
    <e v="#NAME?"/>
    <e v="#N/A"/>
    <s v="12"/>
    <s v="Justice, Law and Order"/>
    <s v="148"/>
    <x v="2"/>
    <x v="2"/>
    <s v="1646"/>
    <s v="Retooling of Judicial Service Commission "/>
    <x v="1"/>
    <d v="2020-07-01T00:00:00"/>
    <d v="2022-06-30T00:00:00"/>
    <n v="6.43"/>
    <m/>
    <n v="6.43"/>
    <n v="0"/>
    <n v="1.286"/>
    <m/>
    <n v="1.286"/>
    <n v="1.286"/>
    <m/>
    <n v="1.286"/>
    <n v="1.286"/>
    <m/>
    <n v="1.286"/>
    <n v="1.286"/>
    <m/>
    <n v="1.286"/>
  </r>
  <r>
    <s v="273"/>
    <s v="1642 Retooling for Directorate of Government Analytical Laboratory"/>
    <e v="#NAME?"/>
    <e v="#N/A"/>
    <s v="12"/>
    <s v="Justice, Law and Order"/>
    <s v="305"/>
    <x v="2"/>
    <x v="2"/>
    <s v="1642"/>
    <s v="Retooling for Directorate of Government Analytical Laboratory"/>
    <x v="1"/>
    <d v="2020-07-01T00:00:00"/>
    <d v="2022-06-30T00:00:00"/>
    <n v="86.863699999999994"/>
    <m/>
    <n v="86.863699999999994"/>
    <n v="0"/>
    <n v="17.37274"/>
    <m/>
    <n v="17.37274"/>
    <n v="17.37274"/>
    <m/>
    <n v="17.37274"/>
    <n v="17.37274"/>
    <m/>
    <n v="17.37274"/>
    <n v="17.37274"/>
    <m/>
    <n v="17.37274"/>
  </r>
  <r>
    <s v="274"/>
    <s v="1667 Retooling the National Identification and Registration Authority "/>
    <e v="#NAME?"/>
    <e v="#N/A"/>
    <s v="12"/>
    <s v="Justice, Law and Order"/>
    <s v="309"/>
    <x v="2"/>
    <x v="2"/>
    <s v="1667"/>
    <s v="Retooling the National Identification and Registration Authority "/>
    <x v="1"/>
    <d v="2020-07-01T00:00:00"/>
    <d v="2022-06-30T00:00:00"/>
    <n v="186.5659"/>
    <m/>
    <n v="186.5659"/>
    <n v="0"/>
    <n v="37.313180000000003"/>
    <m/>
    <n v="37.313180000000003"/>
    <n v="37.313180000000003"/>
    <m/>
    <n v="37.313180000000003"/>
    <n v="37.313180000000003"/>
    <m/>
    <n v="37.313180000000003"/>
    <n v="37.313180000000003"/>
    <m/>
    <n v="37.313180000000003"/>
  </r>
  <r>
    <s v="275"/>
    <s v="1682 Retooling of Public Service"/>
    <e v="#NAME?"/>
    <e v="#N/A"/>
    <s v="13"/>
    <s v="Public Sector Management"/>
    <s v="005"/>
    <x v="2"/>
    <x v="2"/>
    <s v="1682"/>
    <s v="Retooling of Public Service"/>
    <x v="1"/>
    <d v="2020-07-01T00:00:00"/>
    <d v="2022-06-30T00:00:00"/>
    <n v="24.565000000000001"/>
    <m/>
    <n v="24.565000000000001"/>
    <n v="0"/>
    <n v="4.9130000000000003"/>
    <m/>
    <n v="4.9130000000000003"/>
    <n v="4.9130000000000003"/>
    <m/>
    <n v="4.9130000000000003"/>
    <n v="4.9130000000000003"/>
    <m/>
    <n v="4.9130000000000003"/>
    <n v="4.9130000000000003"/>
    <m/>
    <n v="4.9130000000000003"/>
  </r>
  <r>
    <s v="276"/>
    <s v="1691 Retooling of Ministry of East African Affairs"/>
    <e v="#NAME?"/>
    <e v="#N/A"/>
    <s v="13"/>
    <s v="Public Sector Management"/>
    <s v="021"/>
    <x v="2"/>
    <x v="2"/>
    <s v="1691"/>
    <s v="Retooling of Ministry of East African Affairs"/>
    <x v="1"/>
    <d v="2020-07-01T00:00:00"/>
    <d v="2022-06-30T00:00:00"/>
    <n v="26.838999999999999"/>
    <m/>
    <n v="26.838999999999999"/>
    <n v="0"/>
    <n v="5.3677999999999999"/>
    <m/>
    <n v="5.3677999999999999"/>
    <n v="5.3677999999999999"/>
    <m/>
    <n v="5.3677999999999999"/>
    <n v="5.3677999999999999"/>
    <m/>
    <n v="5.3677999999999999"/>
    <n v="5.3677999999999999"/>
    <m/>
    <n v="5.3677999999999999"/>
  </r>
  <r>
    <s v="277"/>
    <s v="1629 Retooling of National Planning Authority"/>
    <e v="#NAME?"/>
    <e v="#N/A"/>
    <s v="13"/>
    <s v="Public Sector Management"/>
    <s v="108"/>
    <x v="2"/>
    <x v="2"/>
    <s v="1629"/>
    <s v="Retooling of National Planning Authority"/>
    <x v="1"/>
    <d v="2020-07-01T00:00:00"/>
    <d v="2022-06-30T00:00:00"/>
    <n v="29.25"/>
    <m/>
    <n v="29.25"/>
    <n v="0"/>
    <n v="5.85"/>
    <m/>
    <n v="5.85"/>
    <n v="5.85"/>
    <m/>
    <n v="5.85"/>
    <n v="5.85"/>
    <m/>
    <n v="5.85"/>
    <n v="5.85"/>
    <m/>
    <n v="5.85"/>
  </r>
  <r>
    <s v="278"/>
    <s v="1674 Retooling of Public Service Commission"/>
    <e v="#NAME?"/>
    <e v="#N/A"/>
    <s v="13"/>
    <s v="Public Sector Management"/>
    <s v="146"/>
    <x v="2"/>
    <x v="2"/>
    <s v="1674"/>
    <s v="Retooling of Public Service Commission"/>
    <x v="1"/>
    <d v="2020-07-01T00:00:00"/>
    <d v="2022-06-30T00:00:00"/>
    <n v="131"/>
    <m/>
    <n v="131"/>
    <n v="0"/>
    <n v="26.2"/>
    <m/>
    <n v="26.2"/>
    <n v="26.2"/>
    <m/>
    <n v="26.2"/>
    <n v="26.2"/>
    <m/>
    <n v="26.2"/>
    <n v="26.2"/>
    <m/>
    <n v="26.2"/>
  </r>
  <r>
    <s v="279"/>
    <s v="1208 Support to National Authorising Officer"/>
    <e v="#NAME?"/>
    <e v="#N/A"/>
    <s v="14"/>
    <s v="Accountability"/>
    <s v="008"/>
    <x v="2"/>
    <x v="2"/>
    <s v="1208"/>
    <s v="Support to National Authorising Officer"/>
    <x v="0"/>
    <d v="2015-07-01T00:00:00"/>
    <d v="2022-06-30T00:00:00"/>
    <m/>
    <n v="6.26"/>
    <n v="6.26"/>
    <n v="0"/>
    <m/>
    <n v="1.57"/>
    <n v="1.57"/>
    <m/>
    <n v="1.57"/>
    <n v="1.57"/>
    <m/>
    <m/>
    <m/>
    <m/>
    <m/>
    <n v="0"/>
  </r>
  <r>
    <s v="280"/>
    <s v="1625 Retooling of Ministry of Finance, Planning and Economic Development"/>
    <e v="#NAME?"/>
    <e v="#N/A"/>
    <s v="14"/>
    <s v="Accountability"/>
    <s v="008"/>
    <x v="2"/>
    <x v="2"/>
    <s v="1625"/>
    <s v="Retooling of Ministry of Finance, Planning and Economic Development"/>
    <x v="1"/>
    <d v="2020-07-01T00:00:00"/>
    <d v="2022-06-30T00:00:00"/>
    <n v="624.75"/>
    <m/>
    <n v="624.75"/>
    <n v="0"/>
    <n v="124.95"/>
    <m/>
    <n v="124.95"/>
    <n v="124.95"/>
    <m/>
    <n v="124.95"/>
    <n v="124.95"/>
    <m/>
    <n v="124.95"/>
    <n v="124.95"/>
    <m/>
    <n v="124.95"/>
  </r>
  <r>
    <s v="281"/>
    <s v="1496 Construction of the IGG Head Office building Project"/>
    <e v="#NAME?"/>
    <e v="#N/A"/>
    <s v="14"/>
    <s v="Accountability"/>
    <s v="103"/>
    <x v="2"/>
    <x v="2"/>
    <s v="1496"/>
    <s v="Construction of the IGG Head Office building Project"/>
    <x v="0"/>
    <d v="2018-07-01T00:00:00"/>
    <d v="2022-06-30T00:00:00"/>
    <n v="107.2"/>
    <m/>
    <n v="107.2"/>
    <n v="0"/>
    <n v="12.5"/>
    <m/>
    <n v="12.5"/>
    <m/>
    <m/>
    <n v="0"/>
    <m/>
    <m/>
    <m/>
    <m/>
    <m/>
    <n v="0"/>
  </r>
  <r>
    <s v="282"/>
    <s v="1684 Retooling of Inspectorate of Government"/>
    <e v="#NAME?"/>
    <e v="#N/A"/>
    <s v="14"/>
    <s v="Accountability"/>
    <s v="103"/>
    <x v="2"/>
    <x v="2"/>
    <s v="1684"/>
    <s v="Retooling of Inspectorate of Government"/>
    <x v="1"/>
    <d v="2020-07-01T00:00:00"/>
    <d v="2022-06-30T00:00:00"/>
    <n v="25"/>
    <m/>
    <n v="25"/>
    <n v="0"/>
    <n v="5"/>
    <m/>
    <n v="5"/>
    <n v="5"/>
    <m/>
    <n v="5"/>
    <n v="5"/>
    <m/>
    <n v="5"/>
    <n v="5"/>
    <m/>
    <n v="5"/>
  </r>
  <r>
    <s v="283"/>
    <s v="1623 Retooling of Financial Intelligence Authority"/>
    <e v="#NAME?"/>
    <e v="#N/A"/>
    <s v="14"/>
    <s v="Accountability"/>
    <s v="129"/>
    <x v="2"/>
    <x v="2"/>
    <s v="1623"/>
    <s v="Retooling of Financial Intelligence Authority"/>
    <x v="1"/>
    <d v="2020-07-01T00:00:00"/>
    <d v="2022-06-30T00:00:00"/>
    <n v="18.812999999999999"/>
    <m/>
    <n v="18.812999999999999"/>
    <n v="0"/>
    <n v="3.7625999999999999"/>
    <m/>
    <n v="3.7625999999999999"/>
    <n v="3.7625999999999999"/>
    <m/>
    <n v="3.7625999999999999"/>
    <n v="3.7625999999999999"/>
    <m/>
    <n v="3.7625999999999999"/>
    <n v="3.7625999999999999"/>
    <m/>
    <n v="3.7625999999999999"/>
  </r>
  <r>
    <s v="284"/>
    <s v="1690 Retooling of  Office of the Auditor General"/>
    <e v="#NAME?"/>
    <e v="#N/A"/>
    <s v="14"/>
    <s v="Accountability"/>
    <s v="131"/>
    <x v="2"/>
    <x v="2"/>
    <s v="1690"/>
    <s v="Retooling of  Office of the Auditor General"/>
    <x v="1"/>
    <d v="2020-07-01T00:00:00"/>
    <d v="2022-06-30T00:00:00"/>
    <n v="30.58"/>
    <m/>
    <n v="30.58"/>
    <n v="0"/>
    <n v="6.1159999999999997"/>
    <m/>
    <n v="6.1159999999999997"/>
    <n v="6.1159999999999997"/>
    <m/>
    <n v="6.1159999999999997"/>
    <n v="6.1159999999999997"/>
    <m/>
    <n v="6.1159999999999997"/>
    <n v="6.1159999999999997"/>
    <m/>
    <n v="6.1159999999999997"/>
  </r>
  <r>
    <s v="285"/>
    <s v="1622 Retooling of Uganda Revenue Authority"/>
    <e v="#NAME?"/>
    <e v="#N/A"/>
    <s v="14"/>
    <s v="Accountability"/>
    <s v="141"/>
    <x v="2"/>
    <x v="2"/>
    <s v="1622"/>
    <s v="Retooling of Uganda Revenue Authority"/>
    <x v="1"/>
    <d v="2020-07-01T00:00:00"/>
    <d v="2022-06-30T00:00:00"/>
    <n v="218.18299999999999"/>
    <m/>
    <n v="218.18299999999999"/>
    <n v="0"/>
    <n v="43.636600000000001"/>
    <m/>
    <n v="43.636600000000001"/>
    <n v="43.636600000000001"/>
    <m/>
    <n v="43.636600000000001"/>
    <n v="43.636600000000001"/>
    <m/>
    <n v="43.636600000000001"/>
    <n v="43.636600000000001"/>
    <m/>
    <n v="43.636600000000001"/>
  </r>
  <r>
    <s v="286"/>
    <s v="1626 Retooling of Uganda Bureau of Statistics "/>
    <e v="#NAME?"/>
    <e v="#N/A"/>
    <s v="14"/>
    <s v="Accountability"/>
    <s v="143"/>
    <x v="2"/>
    <x v="2"/>
    <s v="1626"/>
    <s v="Retooling of Uganda Bureau of Statistics "/>
    <x v="1"/>
    <d v="2020-07-01T00:00:00"/>
    <d v="2022-06-30T00:00:00"/>
    <n v="115.861"/>
    <m/>
    <n v="115.861"/>
    <n v="0"/>
    <n v="23.1722"/>
    <m/>
    <n v="23.1722"/>
    <n v="23.1722"/>
    <m/>
    <n v="23.1722"/>
    <n v="23.1722"/>
    <m/>
    <n v="23.1722"/>
    <n v="23.1722"/>
    <m/>
    <n v="23.1722"/>
  </r>
  <r>
    <s v="287"/>
    <s v="1621 Retooling of Public Procurement and Disposal of Public Assets Authority"/>
    <e v="#NAME?"/>
    <e v="#N/A"/>
    <s v="14"/>
    <s v="Accountability"/>
    <s v="153"/>
    <x v="2"/>
    <x v="2"/>
    <s v="1621"/>
    <s v="Retooling of Public Procurement and Disposal of Public Assets Authority"/>
    <x v="1"/>
    <d v="2020-07-01T00:00:00"/>
    <d v="2022-06-30T00:00:00"/>
    <n v="47.2"/>
    <m/>
    <n v="47.2"/>
    <n v="0"/>
    <n v="9.4400000000000013"/>
    <m/>
    <n v="9.4400000000000013"/>
    <n v="9.4400000000000013"/>
    <m/>
    <n v="9.4400000000000013"/>
    <n v="9.4400000000000013"/>
    <m/>
    <n v="9.4400000000000013"/>
    <n v="9.4400000000000013"/>
    <m/>
    <n v="9.4400000000000013"/>
  </r>
  <r>
    <s v="288"/>
    <s v="1624 Retooling of Uganda Investment Authority"/>
    <e v="#NAME?"/>
    <e v="#N/A"/>
    <s v="14"/>
    <s v="Accountability"/>
    <s v="310"/>
    <x v="2"/>
    <x v="2"/>
    <s v="1624"/>
    <s v="Retooling of Uganda Investment Authority"/>
    <x v="1"/>
    <d v="2020-07-01T00:00:00"/>
    <d v="2025-06-30T00:00:00"/>
    <n v="10.17"/>
    <m/>
    <n v="10.17"/>
    <n v="0"/>
    <n v="2.0339999999999998"/>
    <m/>
    <n v="2.0339999999999998"/>
    <n v="2.0339999999999998"/>
    <m/>
    <n v="2.0339999999999998"/>
    <n v="2.0339999999999998"/>
    <m/>
    <n v="2.0339999999999998"/>
    <n v="2.0339999999999998"/>
    <m/>
    <n v="2.0339999999999998"/>
  </r>
  <r>
    <s v="289"/>
    <s v="0355 Rehabilitation of Parliament"/>
    <e v="#NAME?"/>
    <e v="#N/A"/>
    <s v="15"/>
    <s v="Legislature"/>
    <s v="104"/>
    <x v="2"/>
    <x v="2"/>
    <s v="0355"/>
    <s v="Rehabilitation of Parliament"/>
    <x v="0"/>
    <d v="2011-07-01T00:00:00"/>
    <d v="2022-06-30T00:00:00"/>
    <n v="301.96499999999997"/>
    <m/>
    <n v="301.96499999999997"/>
    <n v="0"/>
    <n v="65.69"/>
    <m/>
    <n v="65.69"/>
    <m/>
    <m/>
    <n v="0"/>
    <m/>
    <m/>
    <m/>
    <m/>
    <m/>
    <n v="0"/>
  </r>
  <r>
    <s v="290"/>
    <s v="1589 Retooling of Office of the President"/>
    <e v="#NAME?"/>
    <s v="1589 Retooling of Office of the President"/>
    <s v="16"/>
    <s v="Public Administration"/>
    <s v="001"/>
    <x v="2"/>
    <x v="2"/>
    <s v="1589"/>
    <s v="Retooling of Office of the President"/>
    <x v="1"/>
    <d v="2020-07-01T00:00:00"/>
    <d v="2025-06-30T00:00:00"/>
    <n v="55.389000000000003"/>
    <m/>
    <n v="55.389000000000003"/>
    <n v="0"/>
    <n v="15"/>
    <m/>
    <n v="15"/>
    <n v="15"/>
    <m/>
    <n v="15"/>
    <n v="15"/>
    <m/>
    <n v="15"/>
    <n v="15"/>
    <m/>
    <n v="15"/>
  </r>
  <r>
    <s v="291"/>
    <s v="1590 Retooling of State House"/>
    <e v="#NAME?"/>
    <e v="#N/A"/>
    <s v="16"/>
    <s v="Public Administration"/>
    <s v="002"/>
    <x v="2"/>
    <x v="2"/>
    <s v="1590"/>
    <s v="Retooling of State House"/>
    <x v="1"/>
    <d v="2020-07-01T00:00:00"/>
    <d v="2025-06-30T00:00:00"/>
    <n v="435.25"/>
    <m/>
    <n v="435.25"/>
    <n v="0"/>
    <n v="87.05"/>
    <m/>
    <n v="87.05"/>
    <n v="87.05"/>
    <m/>
    <n v="87.05"/>
    <n v="87.05"/>
    <m/>
    <n v="87.05"/>
    <n v="87.05"/>
    <m/>
    <n v="87.05"/>
  </r>
  <r>
    <s v="292"/>
    <s v="1591 Retooling of Ministry of Foreign Affairs"/>
    <e v="#NAME?"/>
    <e v="#N/A"/>
    <s v="16"/>
    <s v="Public Administration"/>
    <s v="006"/>
    <x v="2"/>
    <x v="2"/>
    <s v="1591"/>
    <s v="Retooling of Ministry of Foreign Affairs"/>
    <x v="1"/>
    <d v="2020-07-01T00:00:00"/>
    <d v="2025-06-30T00:00:00"/>
    <n v="7.72"/>
    <m/>
    <n v="7.72"/>
    <n v="0"/>
    <n v="1.544"/>
    <m/>
    <n v="1.544"/>
    <n v="1.544"/>
    <m/>
    <n v="1.544"/>
    <n v="1.544"/>
    <m/>
    <n v="1.544"/>
    <n v="1.544"/>
    <m/>
    <n v="1.544"/>
  </r>
  <r>
    <s v="293"/>
    <s v="1687 Retooling of Electoral Commission"/>
    <e v="#NAME?"/>
    <e v="#N/A"/>
    <s v="16"/>
    <s v="Public Administration"/>
    <s v="102"/>
    <x v="2"/>
    <x v="2"/>
    <s v="1687"/>
    <s v="Retooling of Electoral Commission"/>
    <x v="1"/>
    <d v="2020-07-01T00:00:00"/>
    <d v="2025-06-30T00:00:00"/>
    <n v="50"/>
    <m/>
    <n v="50"/>
    <n v="0"/>
    <n v="10"/>
    <m/>
    <n v="10"/>
    <n v="10"/>
    <m/>
    <n v="10"/>
    <n v="10"/>
    <m/>
    <n v="10"/>
    <n v="10"/>
    <m/>
    <n v="10"/>
  </r>
  <r>
    <s v="294"/>
    <s v="1598 Retooling of Uganda Industrial Research Institute"/>
    <e v="#NAME?"/>
    <e v="#N/A"/>
    <s v="18"/>
    <s v="Science, Technology and Innovation"/>
    <s v="110"/>
    <x v="2"/>
    <x v="2"/>
    <s v="1598"/>
    <s v="Retooling of Uganda Industrial Research Institute"/>
    <x v="1"/>
    <d v="2020-07-01T00:00:00"/>
    <d v="2025-06-30T00:00:00"/>
    <n v="20.54"/>
    <n v="0"/>
    <n v="20.54"/>
    <n v="0"/>
    <n v="4.1079999999999997"/>
    <m/>
    <n v="4.1079999999999997"/>
    <n v="4.1079999999999997"/>
    <m/>
    <n v="4.1079999999999997"/>
    <n v="4.1079999999999997"/>
    <m/>
    <n v="4.1079999999999997"/>
    <n v="4.1079999999999997"/>
    <m/>
    <n v="4.1079999999999997"/>
  </r>
  <r>
    <s v="295"/>
    <s v="1651 Retooling of Local Government Finance Commission"/>
    <e v="#NAME?"/>
    <e v="#N/A"/>
    <s v="20"/>
    <s v="Local Government"/>
    <s v="147"/>
    <x v="2"/>
    <x v="2"/>
    <s v="1651"/>
    <s v="Retooling of Local Government Finance Commission"/>
    <x v="1"/>
    <d v="2020-07-01T00:00:00"/>
    <d v="2025-06-30T00:00:00"/>
    <n v="7.2960000000000003"/>
    <m/>
    <n v="7.2960000000000003"/>
    <n v="0"/>
    <n v="1.4592000000000001"/>
    <m/>
    <n v="1.4592000000000001"/>
    <n v="1.4592000000000001"/>
    <m/>
    <n v="1.4592000000000001"/>
    <n v="1.4592000000000001"/>
    <m/>
    <n v="1.4592000000000001"/>
    <n v="1.4592000000000001"/>
    <m/>
    <n v="1.4592000000000001"/>
  </r>
  <r>
    <s v="296"/>
    <s v="1188 Protection of Lake Victoria-Kampala Sanitation Program"/>
    <e v="#NAME?"/>
    <e v="#N/A"/>
    <s v="09"/>
    <s v="Water and Environment"/>
    <s v="019"/>
    <x v="15"/>
    <x v="15"/>
    <s v="1188"/>
    <s v="Protection of Lake Victoria-Kampala Sanitation Program"/>
    <x v="0"/>
    <d v="2009-07-01T00:00:00"/>
    <d v="2022-06-30T00:00:00"/>
    <n v="139.94999999999999"/>
    <n v="5.29"/>
    <n v="145.23999999999998"/>
    <n v="0"/>
    <n v="25.376000000000001"/>
    <m/>
    <n v="25.376000000000001"/>
    <m/>
    <m/>
    <n v="0"/>
    <m/>
    <m/>
    <n v="0"/>
    <m/>
    <m/>
    <n v="0"/>
  </r>
  <r>
    <s v="297"/>
    <s v="1193 Kampala Water Lake Victoria Water and Sanitation Project"/>
    <e v="#NAME?"/>
    <e v="#N/A"/>
    <s v="09"/>
    <s v="Water and Environment"/>
    <s v="019"/>
    <x v="15"/>
    <x v="15"/>
    <s v="1193"/>
    <s v="Kampala Water Lake Victoria Water and Sanitation Project"/>
    <x v="0"/>
    <d v="2011-07-01T00:00:00"/>
    <d v="2022-06-30T00:00:00"/>
    <n v="58.67"/>
    <n v="223.67"/>
    <n v="282.33999999999997"/>
    <n v="0"/>
    <n v="3.2"/>
    <m/>
    <n v="3.2"/>
    <m/>
    <m/>
    <n v="0"/>
    <m/>
    <m/>
    <n v="0"/>
    <m/>
    <m/>
    <n v="0"/>
  </r>
  <r>
    <s v="298"/>
    <s v="1302 Support for Hydro-Power Devt and Operations on River Nile"/>
    <e v="#NAME?"/>
    <e v="#N/A"/>
    <s v="09"/>
    <s v="Water and Environment"/>
    <s v="019"/>
    <x v="15"/>
    <x v="15"/>
    <s v="1302"/>
    <s v="Support for Hydro-Power Devt and Operations on River Nile"/>
    <x v="0"/>
    <d v="2014-07-01T00:00:00"/>
    <d v="2022-06-30T00:00:00"/>
    <n v="5.32"/>
    <m/>
    <n v="5.32"/>
    <n v="0"/>
    <n v="4.1339519999999998"/>
    <m/>
    <n v="4.1339519999999998"/>
    <m/>
    <m/>
    <n v="0"/>
    <m/>
    <m/>
    <n v="0"/>
    <m/>
    <m/>
    <n v="0"/>
  </r>
  <r>
    <s v="299"/>
    <s v="1347 Solar Powered Mini-Piped Water Schemes in rural Areas"/>
    <e v="#NAME?"/>
    <e v="#N/A"/>
    <s v="09"/>
    <s v="Water and Environment"/>
    <s v="019"/>
    <x v="15"/>
    <x v="15"/>
    <s v="1347"/>
    <s v="Solar Powered Mini-Piped Water Schemes in rural Areas"/>
    <x v="0"/>
    <d v="2015-07-01T00:00:00"/>
    <d v="2022-06-30T00:00:00"/>
    <n v="79.349999999999994"/>
    <m/>
    <n v="79.349999999999994"/>
    <n v="0"/>
    <n v="46.244738509999998"/>
    <m/>
    <n v="46.244738509999998"/>
    <m/>
    <m/>
    <n v="0"/>
    <m/>
    <m/>
    <n v="0"/>
    <m/>
    <m/>
    <n v="0"/>
  </r>
  <r>
    <s v="300"/>
    <s v="1396 Water for Production Regional Center-North (WfPRC-N) based in Lira"/>
    <e v="#NAME?"/>
    <e v="#N/A"/>
    <s v="09"/>
    <s v="Water and Environment"/>
    <s v="019"/>
    <x v="15"/>
    <x v="15"/>
    <s v="1396"/>
    <s v="Water for Production Regional Center-North (WfPRC-N) based in Lira"/>
    <x v="0"/>
    <d v="2016-07-01T00:00:00"/>
    <d v="2022-06-30T00:00:00"/>
    <n v="53.88"/>
    <m/>
    <n v="53.88"/>
    <n v="0"/>
    <n v="2.0609600000000001"/>
    <m/>
    <n v="2.0609600000000001"/>
    <m/>
    <m/>
    <n v="0"/>
    <m/>
    <m/>
    <n v="0"/>
    <m/>
    <m/>
    <n v="0"/>
  </r>
  <r>
    <s v="301"/>
    <s v="1397 Water for Production Regional Center-East (WfPRC_E) based in Mbale"/>
    <e v="#NAME?"/>
    <e v="#N/A"/>
    <s v="09"/>
    <s v="Water and Environment"/>
    <s v="019"/>
    <x v="15"/>
    <x v="15"/>
    <s v="1397"/>
    <s v="Water for Production Regional Center-East (WfPRC_E) based in Mbale"/>
    <x v="0"/>
    <d v="2016-07-01T00:00:00"/>
    <d v="2022-06-30T00:00:00"/>
    <n v="100.76"/>
    <m/>
    <n v="100.76"/>
    <n v="0"/>
    <n v="22.053285200000001"/>
    <m/>
    <n v="22.053285200000001"/>
    <m/>
    <m/>
    <n v="0"/>
    <m/>
    <m/>
    <n v="0"/>
    <m/>
    <m/>
    <n v="0"/>
  </r>
  <r>
    <s v="302"/>
    <s v="1398 Water for Production Regional Centre-West (WfPRC-W) based in Mbarara"/>
    <e v="#NAME?"/>
    <e v="#N/A"/>
    <s v="09"/>
    <s v="Water and Environment"/>
    <s v="019"/>
    <x v="15"/>
    <x v="15"/>
    <s v="1398"/>
    <s v="Water for Production Regional Centre-West (WfPRC-W) based in Mbarara"/>
    <x v="0"/>
    <d v="2016-07-01T00:00:00"/>
    <d v="2022-06-30T00:00:00"/>
    <n v="60.4"/>
    <m/>
    <n v="60.4"/>
    <n v="0"/>
    <n v="25.473914059999998"/>
    <m/>
    <n v="25.473914059999998"/>
    <m/>
    <m/>
    <n v="0"/>
    <m/>
    <m/>
    <n v="0"/>
    <m/>
    <m/>
    <n v="0"/>
  </r>
  <r>
    <s v="303"/>
    <s v="1399 Karamoja Small Town and Rural growth Centers Water Supply and Sanitation Project"/>
    <e v="#NAME?"/>
    <e v="#N/A"/>
    <s v="09"/>
    <s v="Water and Environment"/>
    <s v="019"/>
    <x v="15"/>
    <x v="15"/>
    <s v="1399"/>
    <s v="Karamoja Small Town and Rural growth Centers Water Supply and Sanitation Project"/>
    <x v="0"/>
    <d v="2016-07-01T00:00:00"/>
    <d v="2022-06-30T00:00:00"/>
    <n v="55.43"/>
    <n v="157.44999999999999"/>
    <n v="212.88"/>
    <n v="0"/>
    <n v="3.2"/>
    <m/>
    <n v="3.2"/>
    <m/>
    <m/>
    <n v="0"/>
    <m/>
    <m/>
    <n v="0"/>
    <m/>
    <m/>
    <n v="0"/>
  </r>
  <r>
    <s v="304"/>
    <s v="1417 Farm Income Enhancement and Forestry Conservation Project Phase II (FIEFOC II)"/>
    <e v="#NAME?"/>
    <e v="#N/A"/>
    <s v="09"/>
    <s v="Water and Environment"/>
    <s v="019"/>
    <x v="15"/>
    <x v="15"/>
    <s v="1417"/>
    <s v="Farm Income Enhancement and Forestry Conservation Project Phase II (FIEFOC II)"/>
    <x v="0"/>
    <d v="2016-07-01T00:00:00"/>
    <d v="2022-06-30T00:00:00"/>
    <n v="103.76909999999999"/>
    <n v="282.75"/>
    <n v="386.51909999999998"/>
    <n v="0"/>
    <m/>
    <n v="98.618695254000002"/>
    <n v="98.618695254000002"/>
    <m/>
    <m/>
    <n v="0"/>
    <m/>
    <m/>
    <n v="0"/>
    <m/>
    <m/>
    <n v="0"/>
  </r>
  <r>
    <s v="305"/>
    <s v="1424 Multi-Lateral Lakes Edward &amp; Albert Integrated Fisheries and Water Resources Management (LEAFII)"/>
    <e v="#NAME?"/>
    <e v="#N/A"/>
    <s v="09"/>
    <s v="Water and Environment"/>
    <s v="019"/>
    <x v="15"/>
    <x v="15"/>
    <s v="1424"/>
    <s v="Multi-Lateral Lakes Edward &amp; Albert Integrated Fisheries and Water Resources Management (LEAFII)"/>
    <x v="0"/>
    <d v="2017-07-01T00:00:00"/>
    <d v="2022-06-30T00:00:00"/>
    <n v="4.5140000000000002"/>
    <n v="42.75"/>
    <n v="47.264000000000003"/>
    <n v="0"/>
    <n v="4.601"/>
    <m/>
    <n v="4.601"/>
    <m/>
    <m/>
    <n v="0"/>
    <m/>
    <m/>
    <n v="0"/>
    <m/>
    <m/>
    <n v="0"/>
  </r>
  <r>
    <s v="306"/>
    <s v="1438 Water Services Acceleration Project (SCAP)"/>
    <e v="#NAME?"/>
    <e v="#N/A"/>
    <s v="09"/>
    <s v="Water and Environment"/>
    <s v="019"/>
    <x v="15"/>
    <x v="15"/>
    <s v="1438"/>
    <s v="Water Services Acceleration Project (SCAP)"/>
    <x v="0"/>
    <d v="2017-07-01T00:00:00"/>
    <d v="2022-06-30T00:00:00"/>
    <n v="90"/>
    <m/>
    <n v="90"/>
    <n v="0"/>
    <n v="40"/>
    <m/>
    <n v="40"/>
    <m/>
    <m/>
    <n v="0"/>
    <m/>
    <m/>
    <n v="0"/>
    <m/>
    <m/>
    <n v="0"/>
  </r>
  <r>
    <s v="307"/>
    <s v="1487 Enhancing Resilience of Communities to Climate Change"/>
    <e v="#NAME?"/>
    <e v="#N/A"/>
    <s v="09"/>
    <s v="Water and Environment"/>
    <s v="019"/>
    <x v="15"/>
    <x v="15"/>
    <s v="1487"/>
    <s v="Enhancing Resilience of Communities to Climate Change"/>
    <x v="0"/>
    <d v="2017-07-01T00:00:00"/>
    <d v="2022-06-30T00:00:00"/>
    <n v="1.36"/>
    <n v="27.393000000000001"/>
    <n v="28.753"/>
    <n v="0"/>
    <n v="8.7149999999999999"/>
    <m/>
    <n v="8.7149999999999999"/>
    <m/>
    <m/>
    <n v="0"/>
    <m/>
    <m/>
    <n v="0"/>
    <m/>
    <m/>
    <n v="0"/>
  </r>
  <r>
    <s v="308"/>
    <s v="1522 Inner Murchison Bay Cleanup Project"/>
    <e v="#NAME?"/>
    <e v="#N/A"/>
    <s v="09"/>
    <s v="Water and Environment"/>
    <s v="019"/>
    <x v="15"/>
    <x v="15"/>
    <s v="1522"/>
    <s v="Inner Murchison Bay Cleanup Project"/>
    <x v="0"/>
    <d v="2019-07-01T00:00:00"/>
    <d v="2022-06-30T00:00:00"/>
    <n v="32.450000000000003"/>
    <m/>
    <n v="32.450000000000003"/>
    <n v="0"/>
    <n v="10.004524999999999"/>
    <m/>
    <n v="10.004524999999999"/>
    <n v="12.080203750000001"/>
    <m/>
    <n v="12.080203750000001"/>
    <n v="13.892234312499999"/>
    <m/>
    <n v="13.892234312499999"/>
    <m/>
    <m/>
    <n v="0"/>
  </r>
  <r>
    <s v="309"/>
    <s v="1523 Water for Production Phase II"/>
    <e v="#NAME?"/>
    <e v="#N/A"/>
    <s v="09"/>
    <s v="Water and Environment"/>
    <s v="019"/>
    <x v="15"/>
    <x v="15"/>
    <s v="1523"/>
    <s v="Water for Production Phase II"/>
    <x v="0"/>
    <d v="2019-07-01T00:00:00"/>
    <d v="2022-06-30T00:00:00"/>
    <n v="530.15499999999997"/>
    <m/>
    <n v="530.15499999999997"/>
    <n v="0"/>
    <n v="27.262398975"/>
    <m/>
    <n v="27.262398975"/>
    <n v="23.262"/>
    <m/>
    <n v="23.262"/>
    <n v="23.262"/>
    <m/>
    <n v="23.262"/>
    <m/>
    <m/>
    <n v="0"/>
  </r>
  <r>
    <s v="310"/>
    <s v="1524 Water and Sanitation Development Facility - East-Phase II"/>
    <e v="#NAME?"/>
    <e v="#N/A"/>
    <s v="09"/>
    <s v="Water and Environment"/>
    <s v="019"/>
    <x v="15"/>
    <x v="15"/>
    <s v="1524"/>
    <s v="Water and Sanitation Development Facility - East-Phase II"/>
    <x v="0"/>
    <d v="2019-07-01T00:00:00"/>
    <d v="2022-06-30T00:00:00"/>
    <n v="75"/>
    <n v="120.8"/>
    <n v="195.8"/>
    <n v="0"/>
    <n v="36.524990000000003"/>
    <m/>
    <n v="36.524990000000003"/>
    <n v="15.525"/>
    <m/>
    <n v="15.525"/>
    <n v="15.525"/>
    <m/>
    <n v="15.525"/>
    <m/>
    <m/>
    <n v="0"/>
  </r>
  <r>
    <s v="311"/>
    <s v="1525 Water and Sanitation Development Facility - South Western-Phase II"/>
    <e v="#NAME?"/>
    <e v="#N/A"/>
    <s v="09"/>
    <s v="Water and Environment"/>
    <s v="019"/>
    <x v="15"/>
    <x v="15"/>
    <s v="1525"/>
    <s v="Water and Sanitation Development Facility - South Western-Phase II"/>
    <x v="0"/>
    <d v="2019-07-01T00:00:00"/>
    <d v="2022-06-30T00:00:00"/>
    <n v="169.9"/>
    <n v="95.74"/>
    <n v="265.64"/>
    <n v="0"/>
    <n v="24.057929999999999"/>
    <m/>
    <n v="24.057929999999999"/>
    <n v="14.958"/>
    <m/>
    <n v="14.958"/>
    <n v="14.958"/>
    <m/>
    <n v="14.958"/>
    <m/>
    <m/>
    <n v="0"/>
  </r>
  <r>
    <s v="312"/>
    <s v="1529 Strategic Towns Water Supply and Sanitation Project (STWSSP)"/>
    <e v="#NAME?"/>
    <e v="#N/A"/>
    <s v="09"/>
    <s v="Water and Environment"/>
    <s v="019"/>
    <x v="15"/>
    <x v="15"/>
    <s v="1529"/>
    <s v="Strategic Towns Water Supply and Sanitation Project (STWSSP)"/>
    <x v="0"/>
    <d v="2019-07-01T00:00:00"/>
    <d v="2022-06-30T00:00:00"/>
    <n v="25.058"/>
    <n v="225.74799999999999"/>
    <n v="250.80599999999998"/>
    <n v="0"/>
    <n v="6.0118"/>
    <n v="25.94"/>
    <n v="31.951800000000002"/>
    <n v="31.952000000000002"/>
    <m/>
    <n v="31.952000000000002"/>
    <n v="31.952000000000002"/>
    <m/>
    <n v="31.952000000000002"/>
    <m/>
    <m/>
    <n v="0"/>
  </r>
  <r>
    <s v="313"/>
    <s v="1530 Integrated Water Resources Management and Development Project (IWMDP)"/>
    <e v="#NAME?"/>
    <e v="#N/A"/>
    <s v="09"/>
    <s v="Water and Environment"/>
    <s v="019"/>
    <x v="15"/>
    <x v="15"/>
    <s v="1530"/>
    <s v="Integrated Water Resources Management and Development Project (IWMDP)"/>
    <x v="0"/>
    <d v="2019-07-01T00:00:00"/>
    <d v="2022-06-30T00:00:00"/>
    <n v="29.704000000000001"/>
    <n v="1132.4649999999999"/>
    <n v="1162.1689999999999"/>
    <n v="0"/>
    <n v="2.2309999999999999"/>
    <n v="188.43576694999999"/>
    <n v="190.66676694999998"/>
    <n v="54.866999999999997"/>
    <m/>
    <n v="54.866999999999997"/>
    <n v="54.866999999999997"/>
    <m/>
    <n v="54.866999999999997"/>
    <m/>
    <m/>
    <n v="0"/>
  </r>
  <r>
    <s v="314"/>
    <s v="1531 South Western Cluster (SWC) Project"/>
    <e v="#NAME?"/>
    <e v="#N/A"/>
    <s v="09"/>
    <s v="Water and Environment"/>
    <s v="019"/>
    <x v="15"/>
    <x v="15"/>
    <s v="1531"/>
    <s v="South Western Cluster (SWC) Project"/>
    <x v="0"/>
    <d v="2019-07-01T00:00:00"/>
    <d v="2022-06-30T00:00:00"/>
    <m/>
    <n v="519937"/>
    <n v="519937"/>
    <n v="0"/>
    <m/>
    <n v="146"/>
    <n v="146"/>
    <n v="146"/>
    <m/>
    <n v="146"/>
    <n v="146"/>
    <m/>
    <n v="146"/>
    <m/>
    <m/>
    <n v="0"/>
  </r>
  <r>
    <s v="315"/>
    <s v="1532 100% Service Coverage Acceleration Project - umbrellas (SCAP 100 - umbrellas)"/>
    <e v="#NAME?"/>
    <e v="#N/A"/>
    <s v="09"/>
    <s v="Water and Environment"/>
    <s v="019"/>
    <x v="15"/>
    <x v="15"/>
    <s v="1532"/>
    <s v="100% Service Coverage Acceleration Project - umbrellas (SCAP 100 - umbrellas)"/>
    <x v="0"/>
    <d v="2019-07-01T00:00:00"/>
    <d v="2022-06-30T00:00:00"/>
    <n v="335.05200000000002"/>
    <m/>
    <n v="335.05200000000002"/>
    <n v="0"/>
    <n v="26.006429376"/>
    <m/>
    <n v="26.006429376"/>
    <n v="28.006"/>
    <m/>
    <n v="28.006"/>
    <n v="28.006"/>
    <m/>
    <n v="28.006"/>
    <m/>
    <m/>
    <n v="0"/>
  </r>
  <r>
    <s v="316"/>
    <s v="1533 Water and Sanitation Development Facility Central - Phase II"/>
    <e v="#NAME?"/>
    <e v="#N/A"/>
    <s v="09"/>
    <s v="Water and Environment"/>
    <s v="019"/>
    <x v="15"/>
    <x v="15"/>
    <s v="1533"/>
    <s v="Water and Sanitation Development Facility Central - Phase II"/>
    <x v="0"/>
    <d v="2019-07-01T00:00:00"/>
    <d v="2022-06-30T00:00:00"/>
    <n v="154.69999999999999"/>
    <m/>
    <n v="154.69999999999999"/>
    <n v="0"/>
    <n v="13.015879999999999"/>
    <m/>
    <n v="13.015879999999999"/>
    <n v="13.015879999999999"/>
    <m/>
    <n v="13.015879999999999"/>
    <n v="13.015879999999999"/>
    <m/>
    <n v="13.015879999999999"/>
    <n v="13.015879999999999"/>
    <m/>
    <n v="13.015879999999999"/>
  </r>
  <r>
    <s v="317"/>
    <s v="1534 Water and Sanitation Development Facility North - Phase II"/>
    <e v="#NAME?"/>
    <e v="#N/A"/>
    <s v="09"/>
    <s v="Water and Environment"/>
    <s v="019"/>
    <x v="15"/>
    <x v="15"/>
    <s v="1534"/>
    <s v="Water and Sanitation Development Facility North - Phase II"/>
    <x v="0"/>
    <d v="2019-07-01T00:00:00"/>
    <d v="2022-06-30T00:00:00"/>
    <n v="69.099999999999994"/>
    <n v="119.46"/>
    <n v="188.56"/>
    <n v="0"/>
    <n v="10.528819165"/>
    <n v="16.5"/>
    <n v="27.028819165000002"/>
    <n v="10.528819165"/>
    <m/>
    <n v="10.528819165"/>
    <n v="10.528819165"/>
    <m/>
    <n v="10.528819165"/>
    <n v="10.528819165"/>
    <m/>
    <n v="10.528819165"/>
  </r>
  <r>
    <s v="318"/>
    <s v="1559 Drought Resilience in Karamoja sub-region project"/>
    <e v="#NAME?"/>
    <e v="#N/A"/>
    <s v="09"/>
    <s v="Water and Environment"/>
    <s v="019"/>
    <x v="15"/>
    <x v="15"/>
    <s v="1559"/>
    <s v="Drought Resilience in Karamoja sub-region project"/>
    <x v="0"/>
    <d v="2019-07-01T00:00:00"/>
    <d v="2022-06-30T00:00:00"/>
    <n v="113.56"/>
    <m/>
    <n v="113.56"/>
    <n v="0"/>
    <n v="5.4952740220000003"/>
    <n v="25.2"/>
    <n v="30.695274022"/>
    <n v="30.695"/>
    <m/>
    <n v="30.695"/>
    <n v="30.695"/>
    <m/>
    <n v="30.695"/>
    <n v="10.529"/>
    <m/>
    <n v="10.529"/>
  </r>
  <r>
    <s v="319"/>
    <s v="1562 Lake Victoria Water and Sanitation (LVWATSAN) Phase 3"/>
    <e v="#NAME?"/>
    <e v="#N/A"/>
    <s v="09"/>
    <s v="Water and Environment"/>
    <s v="019"/>
    <x v="15"/>
    <x v="15"/>
    <s v="1562"/>
    <s v="Lake Victoria Water and Sanitation (LVWATSAN) Phase 3"/>
    <x v="0"/>
    <d v="2020-01-07T00:00:00"/>
    <d v="2022-06-30T00:00:00"/>
    <n v="31.739498565000002"/>
    <n v="84.751665059999993"/>
    <n v="116.491163625"/>
    <n v="0"/>
    <n v="1.25"/>
    <m/>
    <n v="1.25"/>
    <n v="1.25"/>
    <m/>
    <n v="1.25"/>
    <n v="1.25"/>
    <m/>
    <n v="1.25"/>
    <n v="1.25"/>
    <m/>
    <n v="1.25"/>
  </r>
  <r>
    <s v="320"/>
    <s v="1613 Investing in Forests and Protected Areas for Climate-Smart Development"/>
    <e v="#NAME?"/>
    <e v="#N/A"/>
    <s v="09"/>
    <s v="Water and Environment"/>
    <s v="019"/>
    <x v="15"/>
    <x v="15"/>
    <s v="1613"/>
    <s v="Investing in Forests and Protected Areas for Climate-Smart Development"/>
    <x v="0"/>
    <d v="2020-07-01T00:00:00"/>
    <d v="2022-06-30T00:00:00"/>
    <n v="122"/>
    <n v="664"/>
    <n v="786"/>
    <n v="0"/>
    <n v="12.614723740000001"/>
    <n v="61.49"/>
    <n v="74.104723739999997"/>
    <n v="19.106932301000001"/>
    <m/>
    <n v="19.106932301000001"/>
    <n v="21.972972146"/>
    <m/>
    <n v="21.972972146"/>
    <n v="25.268917968"/>
    <m/>
    <n v="25.268917968"/>
  </r>
  <r>
    <s v="321"/>
    <s v="1614 Support To Rural Water Supply and Sanitation Project"/>
    <e v="#NAME?"/>
    <e v="#N/A"/>
    <s v="09"/>
    <s v="Water and Environment"/>
    <s v="019"/>
    <x v="15"/>
    <x v="15"/>
    <s v="1614"/>
    <s v="Support To Rural Water Supply and Sanitation Project"/>
    <x v="0"/>
    <d v="2020-07-01T00:00:00"/>
    <d v="2022-06-30T00:00:00"/>
    <n v="105"/>
    <n v="1806"/>
    <n v="1911"/>
    <n v="0"/>
    <n v="36.758252941000002"/>
    <n v="70"/>
    <n v="106.75825294099999"/>
    <n v="80.757999999999996"/>
    <m/>
    <n v="80.757999999999996"/>
    <n v="80.757999999999996"/>
    <m/>
    <n v="80.757999999999996"/>
    <n v="80.757999999999996"/>
    <m/>
    <n v="80.757999999999996"/>
  </r>
  <r>
    <s v="322"/>
    <s v="1660 Strengthening Water Utilities Regulation Project"/>
    <e v="#NAME?"/>
    <e v="#N/A"/>
    <s v="09"/>
    <s v="Water and Environment"/>
    <s v="019"/>
    <x v="15"/>
    <x v="15"/>
    <s v="1660"/>
    <s v="Strengthening Water Utilities Regulation Project"/>
    <x v="0"/>
    <d v="2020-07-01T00:00:00"/>
    <d v="2022-06-30T00:00:00"/>
    <n v="42.940741752300006"/>
    <m/>
    <n v="42.940741752300006"/>
    <n v="0"/>
    <n v="5.3093000000000004"/>
    <m/>
    <n v="5.3093000000000004"/>
    <n v="5.3093000000000004"/>
    <m/>
    <n v="5.3093000000000004"/>
    <n v="5.3093000000000004"/>
    <m/>
    <n v="5.3093000000000004"/>
    <n v="5.3093000000000004"/>
    <m/>
    <n v="5.3093000000000004"/>
  </r>
  <r>
    <s v="323"/>
    <s v="1661 Irrigation For Climate Resilience Project Profile"/>
    <e v="#NAME?"/>
    <e v="#N/A"/>
    <s v="09"/>
    <s v="Water and Environment"/>
    <s v="019"/>
    <x v="15"/>
    <x v="15"/>
    <s v="1661"/>
    <s v="Irrigation For Climate Resilience Project Profile"/>
    <x v="0"/>
    <d v="2020-07-01T00:00:00"/>
    <d v="2022-06-30T00:00:00"/>
    <n v="8.5"/>
    <n v="386.46667577070002"/>
    <n v="394.96667577070002"/>
    <n v="0"/>
    <n v="8.0500000000000007"/>
    <n v="56.25"/>
    <n v="64.3"/>
    <n v="64.3"/>
    <m/>
    <n v="64.3"/>
    <n v="64.3"/>
    <m/>
    <n v="64.3"/>
    <n v="64.3"/>
    <m/>
    <n v="64.3"/>
  </r>
  <r>
    <s v="324"/>
    <s v="1662 Water Management Zones Project Phase 2"/>
    <e v="#NAME?"/>
    <e v="#N/A"/>
    <s v="09"/>
    <s v="Water and Environment"/>
    <s v="019"/>
    <x v="15"/>
    <x v="15"/>
    <s v="1662"/>
    <s v="Water Management Zones Project Phase 2"/>
    <x v="0"/>
    <d v="2020-07-01T00:00:00"/>
    <d v="2022-06-30T00:00:00"/>
    <n v="47.672480315000001"/>
    <n v="304.7"/>
    <n v="352.37248031499996"/>
    <n v="0"/>
    <n v="1"/>
    <n v="5.45458"/>
    <n v="6.45458"/>
    <n v="1"/>
    <n v="6.5027670000000004"/>
    <n v="7.5027670000000004"/>
    <n v="1"/>
    <n v="7.47818205"/>
    <n v="8.4781820500000009"/>
    <n v="1"/>
    <n v="8.5999093579999997"/>
    <n v="9.5999093579999997"/>
  </r>
  <r>
    <s v="325"/>
    <s v="1666 Development of Solar Powered Irrigation and Water Supply Systems"/>
    <e v="#NAME?"/>
    <e v="#N/A"/>
    <s v="09"/>
    <s v="Water and Environment"/>
    <s v="019"/>
    <x v="15"/>
    <x v="15"/>
    <s v="1666"/>
    <s v="Development of Solar Powered Irrigation and Water Supply Systems"/>
    <x v="0"/>
    <d v="2020-07-01T00:00:00"/>
    <d v="2022-06-30T00:00:00"/>
    <m/>
    <n v="476.73"/>
    <n v="476.73"/>
    <n v="0"/>
    <n v="0.62000012011050587"/>
    <n v="0.93503499999999995"/>
    <n v="1.5550351201105057"/>
    <n v="121.04600000000001"/>
    <m/>
    <n v="121.04600000000001"/>
    <m/>
    <n v="121.04600000000001"/>
    <n v="121.04600000000001"/>
    <m/>
    <n v="121.04600000000001"/>
    <n v="121.04600000000001"/>
  </r>
  <r>
    <s v="326"/>
    <s v="1697 Natural Wetlands Restoration Project"/>
    <e v="#NAME?"/>
    <e v="#N/A"/>
    <s v="09"/>
    <s v="Water and Environment"/>
    <s v="019"/>
    <x v="15"/>
    <x v="15"/>
    <s v="1697"/>
    <s v="Natural Wetlands Restoration Project"/>
    <x v="0"/>
    <d v="2020-07-01T00:00:00"/>
    <d v="2022-06-30T00:00:00"/>
    <n v="14.45"/>
    <m/>
    <n v="14.45"/>
    <n v="0"/>
    <n v="2.8899999999999997"/>
    <m/>
    <n v="2.8899999999999997"/>
    <n v="2.8899999999999997"/>
    <m/>
    <n v="2.8899999999999997"/>
    <n v="2.8899999999999997"/>
    <m/>
    <n v="2.8899999999999997"/>
    <n v="2.8899999999999997"/>
    <m/>
    <n v="2.8899999999999997"/>
  </r>
  <r>
    <s v="327"/>
    <s v="1710 Retooling of Uganda Mission in Guangzhou"/>
    <e v="#NAME?"/>
    <e v="#N/A"/>
    <s v="16"/>
    <s v="Public Administration"/>
    <s v="232"/>
    <x v="2"/>
    <x v="2"/>
    <s v="1710"/>
    <s v="Retooling of Uganda Mission in Guangzhou"/>
    <x v="1"/>
    <d v="2021-07-01T00:00:00"/>
    <d v="2025-06-30T00:00:00"/>
    <n v="1.1599999999999999"/>
    <n v="0"/>
    <n v="1.1599999999999999"/>
    <n v="0"/>
    <n v="0.32"/>
    <m/>
    <n v="0.32"/>
    <n v="0.13"/>
    <m/>
    <n v="0.13"/>
    <n v="0.27"/>
    <m/>
    <n v="0.27"/>
    <n v="0.44"/>
    <m/>
    <n v="0.44"/>
  </r>
  <r>
    <s v="328"/>
    <s v="1711 Retooling of Mission in Juba"/>
    <e v="#NAME?"/>
    <e v="#N/A"/>
    <s v="17"/>
    <s v="Public Administration"/>
    <s v="229"/>
    <x v="2"/>
    <x v="2"/>
    <s v="1711"/>
    <s v="Retooling of Mission in Juba"/>
    <x v="1"/>
    <d v="2021-07-01T00:00:00"/>
    <d v="2025-06-30T00:00:00"/>
    <n v="0.96"/>
    <n v="0"/>
    <n v="0.96"/>
    <n v="0"/>
    <n v="0.12"/>
    <m/>
    <n v="0.12"/>
    <n v="0.13"/>
    <m/>
    <n v="0.13"/>
    <n v="0.27"/>
    <m/>
    <n v="0.27"/>
    <n v="0.44"/>
    <m/>
    <n v="0.44"/>
  </r>
  <r>
    <s v="329"/>
    <s v="1712 Retooling Mission in Canberra"/>
    <e v="#NAME?"/>
    <e v="#N/A"/>
    <s v="18"/>
    <s v="Public Administration"/>
    <s v="228"/>
    <x v="2"/>
    <x v="2"/>
    <s v="1712"/>
    <s v="Retooling Mission in Canberra"/>
    <x v="1"/>
    <d v="2021-07-01T00:00:00"/>
    <d v="2025-06-30T00:00:00"/>
    <n v="0.96"/>
    <n v="0"/>
    <n v="0.96"/>
    <n v="0"/>
    <n v="0.12"/>
    <m/>
    <n v="0.12"/>
    <n v="0.13"/>
    <m/>
    <n v="0.13"/>
    <n v="0.27"/>
    <m/>
    <n v="0.27"/>
    <n v="0.44"/>
    <m/>
    <n v="0.44"/>
  </r>
  <r>
    <s v="330"/>
    <s v="1713 Retooling of Mission in ANKARA"/>
    <e v="#NAME?"/>
    <e v="#N/A"/>
    <s v="19"/>
    <s v="Public Administration"/>
    <s v="233"/>
    <x v="2"/>
    <x v="2"/>
    <s v="1713"/>
    <s v="Retooling of Mission in ANKARA"/>
    <x v="1"/>
    <d v="2021-07-01T00:00:00"/>
    <d v="2025-06-30T00:00:00"/>
    <n v="0.96"/>
    <n v="0"/>
    <n v="0.96"/>
    <n v="0"/>
    <n v="0.12"/>
    <m/>
    <n v="0.12"/>
    <n v="0.13"/>
    <m/>
    <n v="0.13"/>
    <n v="0.27"/>
    <m/>
    <n v="0.27"/>
    <n v="0.44"/>
    <m/>
    <n v="0.44"/>
  </r>
  <r>
    <s v="331"/>
    <s v="1714 Retooling of Mission in Mogadishu"/>
    <e v="#NAME?"/>
    <e v="#N/A"/>
    <s v="20"/>
    <s v="Public Administration"/>
    <s v="234"/>
    <x v="2"/>
    <x v="2"/>
    <s v="1714"/>
    <s v="Retooling of Mission in Mogadishu"/>
    <x v="1"/>
    <d v="2021-07-01T00:00:00"/>
    <d v="2025-06-30T00:00:00"/>
    <n v="0.96"/>
    <n v="0"/>
    <n v="0.96"/>
    <n v="0"/>
    <n v="0.12"/>
    <m/>
    <n v="0.12"/>
    <n v="0.13"/>
    <m/>
    <n v="0.13"/>
    <n v="0.27"/>
    <m/>
    <n v="0.27"/>
    <n v="0.44"/>
    <m/>
    <n v="0.44"/>
  </r>
  <r>
    <s v="332"/>
    <s v="1715 Retooling of Mission in Qatar Doha"/>
    <e v="#NAME?"/>
    <e v="#N/A"/>
    <s v="21"/>
    <s v="Public Administration"/>
    <s v="238"/>
    <x v="2"/>
    <x v="2"/>
    <s v="1715"/>
    <s v="Retooling of Mission in Qatar Doha"/>
    <x v="1"/>
    <d v="2021-07-01T00:00:00"/>
    <d v="2025-06-30T00:00:00"/>
    <n v="0.96"/>
    <n v="0"/>
    <n v="0.96"/>
    <n v="0"/>
    <n v="0.12"/>
    <m/>
    <n v="0.12"/>
    <n v="0.13"/>
    <m/>
    <n v="0.13"/>
    <n v="0.27"/>
    <m/>
    <n v="0.27"/>
    <n v="0.44"/>
    <m/>
    <n v="0.44"/>
  </r>
  <r>
    <s v="333"/>
    <s v="1716 Retooling of Mission in Kualar Lumpur"/>
    <e v="#NAME?"/>
    <e v="#N/A"/>
    <s v="22"/>
    <s v="Public Administration"/>
    <s v="235"/>
    <x v="2"/>
    <x v="2"/>
    <s v="1716"/>
    <s v="Retooling of Mission in Kualar Lumpur"/>
    <x v="1"/>
    <d v="2021-07-01T00:00:00"/>
    <d v="2025-06-30T00:00:00"/>
    <n v="1.0900000000000001"/>
    <n v="0"/>
    <n v="1.0900000000000001"/>
    <n v="0"/>
    <n v="0.65"/>
    <m/>
    <n v="0.65"/>
    <n v="0.28000000000000003"/>
    <m/>
    <n v="0.28000000000000003"/>
    <n v="0.12"/>
    <m/>
    <n v="0.12"/>
    <n v="0.04"/>
    <m/>
    <n v="0.04"/>
  </r>
  <r>
    <s v="334"/>
    <s v="1717 Retooling of Mission in Berlin , Germany"/>
    <e v="#NAME?"/>
    <e v="#N/A"/>
    <s v="23"/>
    <s v="Public Administration"/>
    <s v="225"/>
    <x v="2"/>
    <x v="2"/>
    <s v="1717"/>
    <s v="Retooling of Mission in Berlin , Germany"/>
    <x v="1"/>
    <d v="2021-07-01T00:00:00"/>
    <d v="2025-06-30T00:00:00"/>
    <n v="0.96"/>
    <n v="0"/>
    <n v="0.96"/>
    <n v="0"/>
    <n v="0.12"/>
    <m/>
    <n v="0.12"/>
    <n v="0.13"/>
    <m/>
    <n v="0.13"/>
    <n v="0.27"/>
    <m/>
    <n v="0.27"/>
    <n v="0.44"/>
    <m/>
    <n v="0.44"/>
  </r>
  <r>
    <s v="335"/>
    <s v="1718 Retooling of Mission in Mombasa"/>
    <e v="#NAME?"/>
    <e v="#N/A"/>
    <s v="24"/>
    <s v="Public Administration"/>
    <s v="236"/>
    <x v="2"/>
    <x v="2"/>
    <s v="1718"/>
    <s v="Retooling of Mission in Mombasa"/>
    <x v="1"/>
    <d v="2021-07-01T00:00:00"/>
    <d v="2025-06-30T00:00:00"/>
    <n v="0.96"/>
    <n v="0"/>
    <n v="0.96"/>
    <n v="0"/>
    <n v="0.12"/>
    <m/>
    <n v="0.12"/>
    <n v="0.13"/>
    <m/>
    <n v="0.13"/>
    <n v="0.27"/>
    <m/>
    <n v="0.27"/>
    <n v="0.44"/>
    <m/>
    <n v="0.44"/>
  </r>
  <r>
    <s v="336"/>
    <s v="1719 Retooling of Mission in Khartoum - Sudan"/>
    <e v="#NAME?"/>
    <e v="#N/A"/>
    <s v="25"/>
    <s v="Public Administration"/>
    <s v="223"/>
    <x v="2"/>
    <x v="2"/>
    <s v="1719"/>
    <s v="Retooling of Mission in Khartoum - Sudan"/>
    <x v="1"/>
    <d v="2021-07-01T00:00:00"/>
    <d v="2025-06-30T00:00:00"/>
    <n v="1.1100000000000001"/>
    <n v="0"/>
    <n v="1.1100000000000001"/>
    <n v="0"/>
    <n v="0.27"/>
    <m/>
    <n v="0.27"/>
    <n v="0.13"/>
    <m/>
    <n v="0.13"/>
    <n v="0.27"/>
    <m/>
    <n v="0.27"/>
    <n v="0.44"/>
    <m/>
    <n v="0.44"/>
  </r>
  <r>
    <s v="337"/>
    <s v="1720 Retooling of Mission in Kinshasa - D.R Congo"/>
    <e v="#NAME?"/>
    <e v="#N/A"/>
    <s v="26"/>
    <s v="Public Administration"/>
    <s v="221"/>
    <x v="2"/>
    <x v="2"/>
    <s v="1720"/>
    <s v="Retooling of Mission in Kinshasa - D.R Congo"/>
    <x v="1"/>
    <d v="2021-07-01T00:00:00"/>
    <d v="2025-06-30T00:00:00"/>
    <n v="0.96"/>
    <n v="0"/>
    <n v="0.96"/>
    <n v="0"/>
    <n v="0.12"/>
    <m/>
    <n v="0.12"/>
    <n v="0.13"/>
    <m/>
    <n v="0.13"/>
    <n v="0.27"/>
    <m/>
    <n v="0.27"/>
    <n v="0.44"/>
    <m/>
    <n v="0.44"/>
  </r>
  <r>
    <s v="338"/>
    <s v="1721 Retooling of Mission in Rome - Italy"/>
    <e v="#NAME?"/>
    <e v="#N/A"/>
    <s v="27"/>
    <s v="Public Administration"/>
    <s v="220"/>
    <x v="2"/>
    <x v="2"/>
    <s v="1721"/>
    <s v="Retooling of Mission in Rome - Italy"/>
    <x v="1"/>
    <d v="2021-07-01T00:00:00"/>
    <d v="2025-06-30T00:00:00"/>
    <n v="0.96"/>
    <n v="0"/>
    <n v="0.96"/>
    <n v="0"/>
    <n v="0.12"/>
    <m/>
    <n v="0.12"/>
    <n v="0.13"/>
    <m/>
    <n v="0.13"/>
    <n v="0.27"/>
    <m/>
    <n v="0.27"/>
    <n v="0.44"/>
    <m/>
    <n v="0.44"/>
  </r>
  <r>
    <s v="339"/>
    <s v="1722 Retooling of Mission in Algiers"/>
    <e v="#NAME?"/>
    <e v="#N/A"/>
    <s v="28"/>
    <s v="Public Administration"/>
    <s v="237"/>
    <x v="2"/>
    <x v="2"/>
    <s v="1722"/>
    <s v="Retooling of Mission in Algiers"/>
    <x v="1"/>
    <d v="2021-07-01T00:00:00"/>
    <d v="2025-06-30T00:00:00"/>
    <n v="0.96"/>
    <n v="0"/>
    <n v="0.96"/>
    <n v="0"/>
    <n v="0.12"/>
    <m/>
    <n v="0.12"/>
    <n v="0.13"/>
    <m/>
    <n v="0.13"/>
    <n v="0.27"/>
    <m/>
    <n v="0.27"/>
    <n v="0.44"/>
    <m/>
    <n v="0.44"/>
  </r>
  <r>
    <s v="340"/>
    <s v="1723 Retooling of Mission in Tokyo - Japan"/>
    <e v="#NAME?"/>
    <e v="#N/A"/>
    <s v="29"/>
    <s v="Public Administration"/>
    <s v="215"/>
    <x v="2"/>
    <x v="2"/>
    <s v="1723"/>
    <s v="Retooling of Mission in Tokyo - Japan"/>
    <x v="1"/>
    <d v="2021-07-01T00:00:00"/>
    <d v="2025-06-30T00:00:00"/>
    <n v="0.96"/>
    <n v="0"/>
    <n v="0.96"/>
    <n v="0"/>
    <n v="0.12"/>
    <m/>
    <n v="0.12"/>
    <n v="0.13"/>
    <m/>
    <n v="0.13"/>
    <n v="0.27"/>
    <m/>
    <n v="0.27"/>
    <n v="0.44"/>
    <m/>
    <n v="0.44"/>
  </r>
  <r>
    <s v="341"/>
    <s v="1724 Retooling of Mission in Geneva - Switzerland"/>
    <e v="#NAME?"/>
    <e v="#N/A"/>
    <s v="30"/>
    <s v="Public Administration"/>
    <s v="214"/>
    <x v="2"/>
    <x v="2"/>
    <s v="1724"/>
    <s v="Retooling of Mission in Geneva - Switzerland"/>
    <x v="1"/>
    <d v="2021-07-01T00:00:00"/>
    <d v="2025-06-30T00:00:00"/>
    <n v="0.96"/>
    <n v="0"/>
    <n v="0.96"/>
    <n v="0"/>
    <n v="0.12"/>
    <m/>
    <n v="0.12"/>
    <n v="0.13"/>
    <m/>
    <n v="0.13"/>
    <n v="0.27"/>
    <m/>
    <n v="0.27"/>
    <n v="0.44"/>
    <m/>
    <n v="0.44"/>
  </r>
  <r>
    <s v="342"/>
    <s v="1725 Retooling of Mission in Kigali - Rwanda"/>
    <e v="#NAME?"/>
    <e v="#N/A"/>
    <s v="31"/>
    <s v="Public Administration"/>
    <s v="213"/>
    <x v="2"/>
    <x v="2"/>
    <s v="1725"/>
    <s v="Retooling of Mission in Kigali - Rwanda"/>
    <x v="1"/>
    <d v="2021-07-01T00:00:00"/>
    <d v="2025-06-30T00:00:00"/>
    <n v="0.96"/>
    <n v="0"/>
    <n v="0.96"/>
    <n v="0"/>
    <n v="0.12"/>
    <m/>
    <n v="0.12"/>
    <n v="0.13"/>
    <m/>
    <n v="0.13"/>
    <n v="0.27"/>
    <m/>
    <n v="0.27"/>
    <n v="0.44"/>
    <m/>
    <n v="0.44"/>
  </r>
  <r>
    <s v="343"/>
    <s v="1726 Retooling of Mission in Beijing - China"/>
    <e v="#NAME?"/>
    <e v="#N/A"/>
    <s v="32"/>
    <s v="Public Administration"/>
    <s v="212"/>
    <x v="2"/>
    <x v="2"/>
    <s v="1726"/>
    <s v="Retooling of Mission in Beijing - China"/>
    <x v="1"/>
    <d v="2021-07-01T00:00:00"/>
    <d v="2025-06-30T00:00:00"/>
    <n v="0.96"/>
    <n v="0"/>
    <n v="0.96"/>
    <n v="0"/>
    <n v="0.12"/>
    <m/>
    <n v="0.12"/>
    <n v="0.13"/>
    <m/>
    <n v="0.13"/>
    <n v="0.27"/>
    <m/>
    <n v="0.27"/>
    <n v="0.44"/>
    <m/>
    <n v="0.44"/>
  </r>
  <r>
    <s v="344"/>
    <s v="1727 Retooling of Mission in Addis Ababa - Ethiopia"/>
    <e v="#NAME?"/>
    <e v="#N/A"/>
    <s v="33"/>
    <s v="Public Administration"/>
    <s v="211"/>
    <x v="2"/>
    <x v="2"/>
    <s v="1727"/>
    <s v="Retooling of Mission in Addis Ababa - Ethiopia"/>
    <x v="1"/>
    <d v="2021-07-01T00:00:00"/>
    <d v="2025-06-30T00:00:00"/>
    <n v="0.96"/>
    <n v="0"/>
    <n v="0.96"/>
    <n v="0"/>
    <n v="0.12"/>
    <m/>
    <n v="0.12"/>
    <n v="0.13"/>
    <m/>
    <n v="0.13"/>
    <n v="0.27"/>
    <m/>
    <n v="0.27"/>
    <n v="0.44"/>
    <m/>
    <n v="0.44"/>
  </r>
  <r>
    <s v="345"/>
    <s v="1728 Retooling of Mission in Pretoria - South Africa"/>
    <e v="#NAME?"/>
    <e v="#N/A"/>
    <s v="34"/>
    <s v="Public Administration"/>
    <s v="209"/>
    <x v="2"/>
    <x v="2"/>
    <s v="1728"/>
    <s v="Retooling of Mission in Pretoria - South Africa"/>
    <x v="1"/>
    <d v="2021-07-01T00:00:00"/>
    <d v="2025-06-30T00:00:00"/>
    <n v="0.96"/>
    <n v="0"/>
    <n v="0.96"/>
    <n v="0"/>
    <n v="0.12"/>
    <m/>
    <n v="0.12"/>
    <n v="0.13"/>
    <m/>
    <n v="0.13"/>
    <n v="0.27"/>
    <m/>
    <n v="0.27"/>
    <n v="0.44"/>
    <m/>
    <n v="0.44"/>
  </r>
  <r>
    <s v="346"/>
    <s v="1729 Retooling of Mission in Abuja - Nigeria"/>
    <e v="#NAME?"/>
    <e v="#N/A"/>
    <s v="35"/>
    <s v="Public Administration"/>
    <s v="208"/>
    <x v="2"/>
    <x v="2"/>
    <s v="1729"/>
    <s v="Retooling of Mission in Abuja - Nigeria"/>
    <x v="1"/>
    <d v="2021-07-01T00:00:00"/>
    <d v="2025-06-30T00:00:00"/>
    <n v="0.96"/>
    <n v="0"/>
    <n v="0.96"/>
    <n v="0"/>
    <n v="0.12"/>
    <m/>
    <n v="0.12"/>
    <n v="0.13"/>
    <m/>
    <n v="0.13"/>
    <n v="0.27"/>
    <m/>
    <n v="0.27"/>
    <n v="0.44"/>
    <m/>
    <n v="0.44"/>
  </r>
  <r>
    <s v="347"/>
    <s v="1730 Retooling of Mission in Dar es saalam - Tanzania"/>
    <e v="#NAME?"/>
    <e v="#N/A"/>
    <s v="36"/>
    <s v="Public Administration"/>
    <s v="207"/>
    <x v="2"/>
    <x v="2"/>
    <s v="1730"/>
    <s v="Retooling of Mission in Dar es saalam - Tanzania"/>
    <x v="1"/>
    <d v="2021-07-01T00:00:00"/>
    <d v="2025-06-30T00:00:00"/>
    <n v="0.96"/>
    <n v="0"/>
    <n v="0.96"/>
    <n v="0"/>
    <n v="0.12"/>
    <m/>
    <n v="0.12"/>
    <n v="0.13"/>
    <m/>
    <n v="0.13"/>
    <n v="0.27"/>
    <m/>
    <n v="0.27"/>
    <n v="0.44"/>
    <m/>
    <n v="0.44"/>
  </r>
  <r>
    <s v="348"/>
    <s v="1731 Retooling of Mission in Nairobi - Kenya"/>
    <e v="#NAME?"/>
    <e v="#N/A"/>
    <s v="37"/>
    <s v="Public Administration"/>
    <s v="206"/>
    <x v="2"/>
    <x v="2"/>
    <s v="1731"/>
    <s v="Retooling of Mission in Nairobi - Kenya"/>
    <x v="1"/>
    <d v="2021-07-01T00:00:00"/>
    <d v="2025-06-30T00:00:00"/>
    <n v="0.96"/>
    <n v="0"/>
    <n v="0.96"/>
    <n v="0"/>
    <n v="0.12"/>
    <m/>
    <n v="0.12"/>
    <n v="0.13"/>
    <m/>
    <n v="0.13"/>
    <n v="0.27"/>
    <m/>
    <n v="0.27"/>
    <n v="0.44"/>
    <m/>
    <n v="0.44"/>
  </r>
  <r>
    <s v="349"/>
    <s v="1732 Retooling of Mission in Cairo - Egypt"/>
    <e v="#NAME?"/>
    <e v="#N/A"/>
    <s v="38"/>
    <s v="Public Administration"/>
    <s v="205"/>
    <x v="2"/>
    <x v="2"/>
    <s v="1732"/>
    <s v="Retooling of Mission in Cairo - Egypt"/>
    <x v="1"/>
    <d v="2021-07-01T00:00:00"/>
    <d v="2025-06-30T00:00:00"/>
    <n v="0.96"/>
    <n v="0"/>
    <n v="0.96"/>
    <n v="0"/>
    <n v="0.12"/>
    <m/>
    <n v="0.12"/>
    <n v="0.13"/>
    <m/>
    <n v="0.13"/>
    <n v="0.27"/>
    <m/>
    <n v="0.27"/>
    <n v="0.44"/>
    <m/>
    <n v="0.44"/>
  </r>
  <r>
    <s v="350"/>
    <s v="1733 Retooling of Mission in London - United Kingdom"/>
    <e v="#NAME?"/>
    <e v="#N/A"/>
    <s v="39"/>
    <s v="Public Administration"/>
    <s v="202"/>
    <x v="2"/>
    <x v="2"/>
    <s v="1733"/>
    <s v="Retooling of Mission in London - United Kingdom"/>
    <x v="1"/>
    <d v="2021-07-01T00:00:00"/>
    <d v="2025-06-30T00:00:00"/>
    <n v="0.96"/>
    <n v="0"/>
    <n v="0.96"/>
    <n v="0"/>
    <n v="0.12"/>
    <m/>
    <n v="0.12"/>
    <n v="0.13"/>
    <m/>
    <n v="0.13"/>
    <n v="0.27"/>
    <m/>
    <n v="0.27"/>
    <n v="0.44"/>
    <m/>
    <n v="0.44"/>
  </r>
  <r>
    <s v="351"/>
    <s v="1734 Retooling of Mission in Bujumbura - Burundi"/>
    <e v="#NAME?"/>
    <e v="#N/A"/>
    <s v="40"/>
    <s v="Public Administration"/>
    <s v="231"/>
    <x v="2"/>
    <x v="2"/>
    <s v="1734"/>
    <s v="Retooling of Mission in Bujumbura - Burundi"/>
    <x v="1"/>
    <d v="2021-07-01T00:00:00"/>
    <d v="2025-06-30T00:00:00"/>
    <n v="0.96"/>
    <n v="0"/>
    <n v="0.96"/>
    <n v="0"/>
    <n v="0.12"/>
    <m/>
    <n v="0.12"/>
    <n v="0.13"/>
    <m/>
    <n v="0.13"/>
    <n v="0.27"/>
    <m/>
    <n v="0.27"/>
    <n v="0.44"/>
    <m/>
    <n v="0.44"/>
  </r>
  <r>
    <s v="352"/>
    <s v="1735 Retooling of Mission in New Delhi - INDIA"/>
    <e v="#NAME?"/>
    <e v="#N/A"/>
    <s v="41"/>
    <s v="Public Administration"/>
    <s v="204"/>
    <x v="2"/>
    <x v="2"/>
    <s v="1735"/>
    <s v="Retooling of Mission in New Delhi - INDIA"/>
    <x v="1"/>
    <d v="2021-07-01T00:00:00"/>
    <d v="2025-06-30T00:00:00"/>
    <n v="0.96"/>
    <n v="0"/>
    <n v="0.96"/>
    <n v="0"/>
    <n v="0.12"/>
    <m/>
    <n v="0.12"/>
    <n v="0.13"/>
    <m/>
    <n v="0.13"/>
    <n v="0.27"/>
    <m/>
    <n v="0.27"/>
    <n v="0.44"/>
    <m/>
    <n v="0.44"/>
  </r>
  <r>
    <s v="353"/>
    <s v="1736 Retooling of Mission in Tehran- IRAN"/>
    <e v="#NAME?"/>
    <e v="#N/A"/>
    <s v="42"/>
    <s v="Public Administration"/>
    <s v="226"/>
    <x v="2"/>
    <x v="2"/>
    <s v="1736"/>
    <s v="Retooling of Mission in Tehran- IRAN"/>
    <x v="1"/>
    <d v="2021-07-01T00:00:00"/>
    <d v="2025-06-30T00:00:00"/>
    <n v="0.96"/>
    <n v="0"/>
    <n v="0.96"/>
    <n v="0"/>
    <n v="0.12"/>
    <m/>
    <n v="0.12"/>
    <n v="0.13"/>
    <m/>
    <n v="0.13"/>
    <n v="0.27"/>
    <m/>
    <n v="0.27"/>
    <n v="0.44"/>
    <m/>
    <n v="0.44"/>
  </r>
  <r>
    <s v="354"/>
    <s v="1737 Retooling of Mission in Copenhagen - Denmark"/>
    <e v="#NAME?"/>
    <e v="#N/A"/>
    <s v="43"/>
    <s v="Public Administration"/>
    <s v="218"/>
    <x v="2"/>
    <x v="2"/>
    <s v="1737"/>
    <s v="Retooling of Mission in Copenhagen - Denmark"/>
    <x v="1"/>
    <d v="2021-07-01T00:00:00"/>
    <d v="2025-06-30T00:00:00"/>
    <n v="0.96"/>
    <n v="0"/>
    <n v="0.96"/>
    <n v="0"/>
    <n v="0.12"/>
    <m/>
    <n v="0.12"/>
    <n v="0.13"/>
    <m/>
    <n v="0.13"/>
    <n v="0.27"/>
    <m/>
    <n v="0.27"/>
    <n v="0.44"/>
    <m/>
    <n v="0.44"/>
  </r>
  <r>
    <s v="355"/>
    <s v="1738 Retooling Mission in Riyadh- SAUDI ARABIA"/>
    <e v="#NAME?"/>
    <e v="#N/A"/>
    <s v="44"/>
    <s v="Public Administration"/>
    <s v="217"/>
    <x v="2"/>
    <x v="2"/>
    <s v="1738"/>
    <s v="Retooling Mission in Riyadh- SAUDI ARABIA"/>
    <x v="1"/>
    <d v="2021-07-01T00:00:00"/>
    <d v="2025-06-30T00:00:00"/>
    <n v="0.96"/>
    <n v="0"/>
    <n v="0.96"/>
    <n v="0"/>
    <n v="0.12"/>
    <m/>
    <n v="0.12"/>
    <n v="0.13"/>
    <m/>
    <n v="0.13"/>
    <n v="0.27"/>
    <m/>
    <n v="0.27"/>
    <n v="0.44"/>
    <m/>
    <n v="0.44"/>
  </r>
  <r>
    <s v="356"/>
    <s v="1739 Retooling of Mission in Moscow- Russia"/>
    <e v="#NAME?"/>
    <e v="#N/A"/>
    <s v="45"/>
    <s v="Public Administration"/>
    <s v="227"/>
    <x v="2"/>
    <x v="2"/>
    <s v="1739"/>
    <s v="Retooling of Mission in Moscow- Russia"/>
    <x v="1"/>
    <d v="2021-07-01T00:00:00"/>
    <d v="2025-06-30T00:00:00"/>
    <n v="0.96"/>
    <n v="0"/>
    <n v="0.96"/>
    <n v="0"/>
    <n v="0.12"/>
    <m/>
    <n v="0.12"/>
    <n v="0.13"/>
    <m/>
    <n v="0.13"/>
    <n v="0.27"/>
    <m/>
    <n v="0.27"/>
    <n v="0.44"/>
    <m/>
    <n v="0.44"/>
  </r>
  <r>
    <s v="357"/>
    <s v="1740 Retooling of Mission in New york - USA"/>
    <e v="#NAME?"/>
    <e v="#N/A"/>
    <s v="46"/>
    <s v="Public Administration"/>
    <s v="201"/>
    <x v="2"/>
    <x v="2"/>
    <s v="1740"/>
    <s v="Retooling of Mission in New york - USA"/>
    <x v="1"/>
    <d v="2021-07-01T00:00:00"/>
    <d v="2025-06-30T00:00:00"/>
    <n v="0.96"/>
    <n v="0"/>
    <n v="0.96"/>
    <n v="0"/>
    <n v="0.12"/>
    <m/>
    <n v="0.12"/>
    <n v="0.13"/>
    <m/>
    <n v="0.13"/>
    <n v="0.27"/>
    <m/>
    <n v="0.27"/>
    <n v="0.44"/>
    <m/>
    <n v="0.44"/>
  </r>
  <r>
    <s v="358"/>
    <s v="1741 Retooling of Mission in BRUSSELS - BELGIUM"/>
    <e v="#NAME?"/>
    <e v="#N/A"/>
    <s v="47"/>
    <s v="Public Administration"/>
    <s v="219"/>
    <x v="2"/>
    <x v="2"/>
    <s v="1741"/>
    <s v="Retooling of Mission in BRUSSELS - BELGIUM"/>
    <x v="1"/>
    <d v="2021-07-01T00:00:00"/>
    <d v="2025-06-30T00:00:00"/>
    <n v="1.1599999999999999"/>
    <n v="0"/>
    <n v="1.1599999999999999"/>
    <n v="0"/>
    <n v="0.47"/>
    <m/>
    <n v="0.47"/>
    <n v="0.13"/>
    <m/>
    <n v="0.13"/>
    <n v="0.12"/>
    <m/>
    <n v="0.12"/>
    <n v="0.44"/>
    <m/>
    <n v="0.44"/>
  </r>
  <r>
    <s v="359"/>
    <s v="1742 Retooling of Mission in PARIS - FRANCE"/>
    <e v="#NAME?"/>
    <e v="#N/A"/>
    <s v="48"/>
    <s v="Public Administration"/>
    <s v="224"/>
    <x v="2"/>
    <x v="2"/>
    <s v="1742"/>
    <s v="Retooling of Mission in PARIS - FRANCE"/>
    <x v="1"/>
    <d v="2021-07-01T00:00:00"/>
    <d v="2025-06-30T00:00:00"/>
    <n v="1.23"/>
    <n v="0"/>
    <n v="1.23"/>
    <n v="0"/>
    <n v="0.47"/>
    <m/>
    <n v="0.47"/>
    <n v="0.1"/>
    <m/>
    <n v="0.1"/>
    <n v="0.26"/>
    <m/>
    <n v="0.26"/>
    <n v="0.4"/>
    <m/>
    <n v="0.4"/>
  </r>
  <r>
    <s v="360"/>
    <s v="1743 Retooling of Mission in Ottawa - Canada"/>
    <e v="#NAME?"/>
    <e v="#N/A"/>
    <s v="49"/>
    <s v="Public Administration"/>
    <s v="203"/>
    <x v="2"/>
    <x v="2"/>
    <s v="1743"/>
    <s v="Retooling of Mission in Ottawa - Canada"/>
    <x v="1"/>
    <d v="2021-07-01T00:00:00"/>
    <d v="2025-06-30T00:00:00"/>
    <n v="0.96"/>
    <n v="0"/>
    <n v="0.96"/>
    <n v="0"/>
    <n v="0.12"/>
    <m/>
    <n v="0.12"/>
    <n v="0.13"/>
    <m/>
    <n v="0.13"/>
    <n v="0.27"/>
    <m/>
    <n v="0.27"/>
    <n v="0.44"/>
    <m/>
    <n v="0.44"/>
  </r>
  <r>
    <s v="361"/>
    <s v="1744 Retooling Mission in Abu Dhabi"/>
    <e v="#NAME?"/>
    <e v="#N/A"/>
    <s v="50"/>
    <s v="Public Administration"/>
    <s v="230"/>
    <x v="2"/>
    <x v="2"/>
    <s v="1744"/>
    <s v="Retooling Mission in Abu Dhabi"/>
    <x v="1"/>
    <d v="2021-07-01T00:00:00"/>
    <d v="2025-06-30T00:00:00"/>
    <n v="0.96"/>
    <n v="0"/>
    <n v="0.96"/>
    <n v="0"/>
    <n v="0.12"/>
    <m/>
    <n v="0.12"/>
    <n v="0.13"/>
    <m/>
    <n v="0.13"/>
    <n v="0.27"/>
    <m/>
    <n v="0.27"/>
    <n v="0.44"/>
    <m/>
    <n v="0.44"/>
  </r>
  <r>
    <s v="362"/>
    <s v="1745 Retooling of Mission in Washington -USA"/>
    <e v="#NAME?"/>
    <e v="#N/A"/>
    <s v="51"/>
    <s v="Public Administration"/>
    <s v="210"/>
    <x v="2"/>
    <x v="2"/>
    <s v="1745"/>
    <s v="Retooling of Mission in Washington -USA"/>
    <x v="1"/>
    <d v="2021-07-01T00:00:00"/>
    <d v="2025-06-30T00:00:00"/>
    <n v="1.1100000000000001"/>
    <n v="0"/>
    <n v="1.1100000000000001"/>
    <n v="0"/>
    <n v="0.27"/>
    <m/>
    <n v="0.27"/>
    <n v="0.13"/>
    <m/>
    <n v="0.13"/>
    <n v="0.27"/>
    <m/>
    <n v="0.27"/>
    <n v="0.44"/>
    <m/>
    <n v="0.44"/>
  </r>
  <r>
    <s v="363"/>
    <s v="1747 Retooling of National Council of Sports"/>
    <e v="#NAME?"/>
    <e v="#N/A"/>
    <s v="07"/>
    <s v="Education"/>
    <s v="321"/>
    <x v="2"/>
    <x v="2"/>
    <s v="1747"/>
    <s v="Retooling of National Council of Sports"/>
    <x v="1"/>
    <d v="2021-07-01T00:00:00"/>
    <d v="2025-06-30T00:00:00"/>
    <n v="3.4790000000000001"/>
    <n v="0"/>
    <n v="3.4790000000000001"/>
    <n v="0"/>
    <n v="1.7010000000000001"/>
    <m/>
    <n v="1.7010000000000001"/>
    <n v="1.0985"/>
    <m/>
    <n v="1.0985"/>
    <n v="0.67949999999999999"/>
    <m/>
    <n v="0.67949999999999999"/>
    <n v="0"/>
    <m/>
    <n v="0"/>
  </r>
  <r>
    <s v="364"/>
    <s v="1748 Retooling of the Uganda Business and Technical  Examination Board"/>
    <e v="#NAME?"/>
    <e v="#N/A"/>
    <s v="08"/>
    <s v="Education"/>
    <s v="322"/>
    <x v="2"/>
    <x v="2"/>
    <s v="1748"/>
    <s v="Retooling of the Uganda Business and Technical  Examination Board"/>
    <x v="1"/>
    <d v="2021-07-01T00:00:00"/>
    <d v="2025-06-30T00:00:00"/>
    <n v="15.105"/>
    <n v="0"/>
    <n v="15.105"/>
    <n v="0"/>
    <n v="2.3306"/>
    <m/>
    <n v="2.3306"/>
    <n v="3.4576500000000001"/>
    <m/>
    <n v="3.4576500000000001"/>
    <n v="4.4446000000000003"/>
    <m/>
    <n v="4.4446000000000003"/>
    <n v="4.8721500000000004"/>
    <m/>
    <n v="4.8721500000000004"/>
  </r>
  <r>
    <s v="365"/>
    <s v="1749 Retooling of the National Council of Higher Education"/>
    <e v="#NAME?"/>
    <e v="#N/A"/>
    <s v="09"/>
    <s v="Education"/>
    <s v="319"/>
    <x v="2"/>
    <x v="2"/>
    <s v="1749"/>
    <s v="Retooling of the National Council of Higher Education"/>
    <x v="1"/>
    <d v="2021-07-01T00:00:00"/>
    <d v="2025-06-30T00:00:00"/>
    <n v="6.1565700000000003"/>
    <n v="0"/>
    <n v="6.1565700000000003"/>
    <n v="0"/>
    <n v="3.2666689999999999E-9"/>
    <m/>
    <n v="3.2666689999999999E-9"/>
    <n v="2.88991E-9"/>
    <m/>
    <n v="2.88991E-9"/>
    <n v="2.88991E-9"/>
    <m/>
    <n v="2.88991E-9"/>
    <n v="2.88991E-9"/>
    <m/>
    <n v="2.88991E-9"/>
  </r>
  <r>
    <s v="366"/>
    <s v="1751 Retooling of Diary Development Authority"/>
    <e v="#NAME?"/>
    <e v="#N/A"/>
    <s v="01"/>
    <s v="Agriculture"/>
    <s v="221"/>
    <x v="2"/>
    <x v="2"/>
    <s v="1751"/>
    <s v="Retooling of Diary Development Authority"/>
    <x v="1"/>
    <d v="2021-07-01T00:00:00"/>
    <d v="2025-06-30T00:00:00"/>
    <n v="16.044274918999999"/>
    <n v="0"/>
    <n v="16.044274918999999"/>
    <n v="0"/>
    <n v="3.1158730000000001"/>
    <m/>
    <n v="3.1158730000000001"/>
    <n v="3.8636382"/>
    <m/>
    <n v="3.8636382"/>
    <n v="3.9274292069999999"/>
    <m/>
    <n v="3.9274292069999999"/>
    <n v="2.9312065010000001"/>
    <m/>
    <n v="2.9312065010000001"/>
  </r>
  <r>
    <s v="367"/>
    <s v="1752 Retooling of the National Animal Genetic Resources Centre and Data Bank"/>
    <e v="#NAME?"/>
    <e v="#N/A"/>
    <s v="01"/>
    <s v="Agriculture"/>
    <s v="125"/>
    <x v="2"/>
    <x v="2"/>
    <s v="1752"/>
    <s v="Retooling of the National Animal Genetic Resources Centre and Data Bank"/>
    <x v="1"/>
    <d v="2021-07-01T00:00:00"/>
    <d v="2025-06-30T00:00:00"/>
    <n v="30.294499999999999"/>
    <n v="0"/>
    <n v="30.294499999999999"/>
    <n v="0"/>
    <n v="1.44913E-8"/>
    <m/>
    <n v="1.44913E-8"/>
    <n v="6.3465999999999996E-9"/>
    <m/>
    <n v="6.3465999999999996E-9"/>
    <n v="4.6786E-9"/>
    <m/>
    <n v="4.6786E-9"/>
    <n v="3.1110000000000001E-9"/>
    <m/>
    <n v="3.1110000000000001E-9"/>
  </r>
  <r>
    <s v="368"/>
    <s v="1753 Retooling of Rural Electrification Authority"/>
    <e v="#NAME?"/>
    <e v="#N/A"/>
    <s v="03"/>
    <s v="Energy and Mineral Development"/>
    <s v="123"/>
    <x v="2"/>
    <x v="2"/>
    <s v="1753"/>
    <s v="Retooling of Rural Electrification Authority"/>
    <x v="1"/>
    <d v="2021-07-01T00:00:00"/>
    <d v="2025-06-30T00:00:00"/>
    <n v="10.96069825"/>
    <n v="0"/>
    <n v="10.96069825"/>
    <n v="0"/>
    <n v="3.3542252640000001"/>
    <m/>
    <n v="3.3542252640000001"/>
    <n v="2.426992196"/>
    <m/>
    <n v="2.426992196"/>
    <n v="2.2394252639999999"/>
    <m/>
    <n v="2.2394252639999999"/>
    <n v="0"/>
    <m/>
    <n v="0"/>
  </r>
  <r>
    <s v="369"/>
    <s v="1754 Retooling of National Agricultural Advisory Services Secretariat"/>
    <e v="#NAME?"/>
    <e v="#N/A"/>
    <s v="01"/>
    <s v="Agriculture"/>
    <s v="152"/>
    <x v="2"/>
    <x v="2"/>
    <s v="1754"/>
    <s v="Retooling of National Agricultural Advisory Services Secretariat"/>
    <x v="1"/>
    <d v="2021-07-01T00:00:00"/>
    <d v="2025-06-30T00:00:00"/>
    <n v="11.5138"/>
    <n v="0"/>
    <n v="11.5138"/>
    <n v="0"/>
    <n v="2.2158000000000002"/>
    <m/>
    <n v="2.2158000000000002"/>
    <n v="2.6560000000000001"/>
    <m/>
    <n v="2.6560000000000001"/>
    <n v="2.8460000000000001"/>
    <m/>
    <n v="2.8460000000000001"/>
    <n v="2.8879999999999999"/>
    <m/>
    <n v="2.887999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dataOnRows="1" applyNumberFormats="0" applyBorderFormats="0" applyFontFormats="0" applyPatternFormats="0" applyAlignmentFormats="0" applyWidthHeightFormats="1" dataCaption="Values" updatedVersion="6" minRefreshableVersion="3" showDataTips="0" useAutoFormatting="1" createdVersion="6" indent="0" outline="1" outlineData="1" multipleFieldFilters="0" chartFormat="1">
  <location ref="A3:B11" firstHeaderRow="1" firstDataRow="1" firstDataCol="1" rowPageCount="1" colPageCount="1"/>
  <pivotFields count="3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2"/>
        <item h="1" m="1" x="3"/>
        <item x="0"/>
        <item x="1"/>
        <item t="default"/>
      </items>
    </pivotField>
    <pivotField showAll="0"/>
    <pivotField showAll="0"/>
    <pivotField showAll="0"/>
    <pivotField showAll="0"/>
    <pivotField showAll="0"/>
    <pivotField showAll="0"/>
    <pivotField dataField="1" showAll="0"/>
    <pivotField dataField="1" showAll="0"/>
    <pivotField showAll="0"/>
    <pivotField dataField="1" showAll="0"/>
    <pivotField dataField="1" showAll="0"/>
    <pivotField showAll="0"/>
    <pivotField dataField="1" showAll="0"/>
    <pivotField dataField="1" showAll="0"/>
    <pivotField showAll="0"/>
    <pivotField dataField="1" showAll="0"/>
    <pivotField dataField="1" showAll="0"/>
    <pivotField showAll="0"/>
  </pivotFields>
  <rowFields count="1">
    <field x="-2"/>
  </rowFields>
  <rowItems count="8">
    <i>
      <x/>
    </i>
    <i i="1">
      <x v="1"/>
    </i>
    <i i="2">
      <x v="2"/>
    </i>
    <i i="3">
      <x v="3"/>
    </i>
    <i i="4">
      <x v="4"/>
    </i>
    <i i="5">
      <x v="5"/>
    </i>
    <i i="6">
      <x v="6"/>
    </i>
    <i i="7">
      <x v="7"/>
    </i>
  </rowItems>
  <colItems count="1">
    <i/>
  </colItems>
  <pageFields count="1">
    <pageField fld="11" hier="-1"/>
  </pageFields>
  <dataFields count="8">
    <dataField name="GOU 21-22" fld="18" baseField="0" baseItem="0"/>
    <dataField name="EF 21-22" fld="19" baseField="0" baseItem="0"/>
    <dataField name="GOU 22-23" fld="21" baseField="0" baseItem="0"/>
    <dataField name="EF 22-23" fld="22" baseField="0" baseItem="0"/>
    <dataField name="GOU 23-24" fld="24" baseField="0" baseItem="0"/>
    <dataField name="EF 23-24" fld="25" baseField="0" baseItem="0"/>
    <dataField name="GOU 24-25" fld="27" baseField="0" baseItem="0"/>
    <dataField name="EF 24-25" fld="28" baseField="0" baseItem="0"/>
  </dataFields>
  <formats count="3">
    <format dxfId="352">
      <pivotArea outline="0" collapsedLevelsAreSubtotals="1" fieldPosition="0"/>
    </format>
    <format dxfId="351">
      <pivotArea fieldPosition="0">
        <references count="1">
          <reference field="4294967294" count="1">
            <x v="0"/>
          </reference>
        </references>
      </pivotArea>
    </format>
    <format dxfId="350">
      <pivotArea collapsedLevelsAreSubtotals="1"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F22" firstHeaderRow="0" firstDataRow="1" firstDataCol="2"/>
  <pivotFields count="3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9">
        <item x="11"/>
        <item x="12"/>
        <item x="16"/>
        <item x="3"/>
        <item x="7"/>
        <item x="0"/>
        <item x="13"/>
        <item x="1"/>
        <item x="17"/>
        <item x="10"/>
        <item x="6"/>
        <item x="8"/>
        <item x="2"/>
        <item x="4"/>
        <item x="5"/>
        <item x="9"/>
        <item x="14"/>
        <item x="15"/>
        <item m="1" x="18"/>
      </items>
      <extLst>
        <ext xmlns:x14="http://schemas.microsoft.com/office/spreadsheetml/2009/9/main" uri="{2946ED86-A175-432a-8AC1-64E0C546D7DE}">
          <x14:pivotField fillDownLabels="1"/>
        </ext>
      </extLst>
    </pivotField>
    <pivotField axis="axisRow" compact="0" outline="0" showAll="0" defaultSubtotal="0">
      <items count="18">
        <item x="11"/>
        <item x="12"/>
        <item x="16"/>
        <item x="3"/>
        <item x="7"/>
        <item x="0"/>
        <item x="13"/>
        <item x="1"/>
        <item x="17"/>
        <item x="10"/>
        <item x="6"/>
        <item x="8"/>
        <item x="2"/>
        <item x="4"/>
        <item x="5"/>
        <item x="9"/>
        <item x="14"/>
        <item x="1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7"/>
    <field x="8"/>
  </rowFields>
  <rowItems count="19">
    <i>
      <x/>
      <x/>
    </i>
    <i>
      <x v="1"/>
      <x v="1"/>
    </i>
    <i>
      <x v="2"/>
      <x v="2"/>
    </i>
    <i>
      <x v="3"/>
      <x v="3"/>
    </i>
    <i>
      <x v="4"/>
      <x v="4"/>
    </i>
    <i>
      <x v="5"/>
      <x v="5"/>
    </i>
    <i>
      <x v="6"/>
      <x v="6"/>
    </i>
    <i>
      <x v="7"/>
      <x v="7"/>
    </i>
    <i>
      <x v="8"/>
      <x v="8"/>
    </i>
    <i>
      <x v="9"/>
      <x v="9"/>
    </i>
    <i>
      <x v="10"/>
      <x v="10"/>
    </i>
    <i>
      <x v="11"/>
      <x v="11"/>
    </i>
    <i>
      <x v="12"/>
      <x v="12"/>
    </i>
    <i>
      <x v="13"/>
      <x v="13"/>
    </i>
    <i>
      <x v="14"/>
      <x v="14"/>
    </i>
    <i>
      <x v="15"/>
      <x v="15"/>
    </i>
    <i>
      <x v="16"/>
      <x v="16"/>
    </i>
    <i>
      <x v="17"/>
      <x v="17"/>
    </i>
    <i t="grand">
      <x/>
    </i>
  </rowItems>
  <colFields count="1">
    <field x="-2"/>
  </colFields>
  <colItems count="4">
    <i>
      <x/>
    </i>
    <i i="1">
      <x v="1"/>
    </i>
    <i i="2">
      <x v="2"/>
    </i>
    <i i="3">
      <x v="3"/>
    </i>
  </colItems>
  <dataFields count="4">
    <dataField name="GOU 21/22 " fld="18" baseField="0" baseItem="0"/>
    <dataField name="GOU 22/23 " fld="21" baseField="0" baseItem="0"/>
    <dataField name="GOU 23/24 " fld="24" baseField="0" baseItem="0"/>
    <dataField name="GOU 24/25 " fld="27" baseField="0" baseItem="0"/>
  </dataFields>
  <formats count="2">
    <format dxfId="349">
      <pivotArea outline="0" fieldPosition="0">
        <references count="2">
          <reference field="7" count="0" selected="0"/>
          <reference field="8" count="0" selected="0"/>
        </references>
      </pivotArea>
    </format>
    <format dxfId="34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Table16" cacheId="4" applyNumberFormats="0" applyBorderFormats="0" applyFontFormats="0" applyPatternFormats="0" applyAlignmentFormats="0" applyWidthHeightFormats="1" dataCaption="Values" missingCaption="0" updatedVersion="6" minRefreshableVersion="3" showDrill="0" rowGrandTotals="0" colGrandTotals="0" itemPrintTitles="1" createdVersion="6" indent="0" showHeaders="0" compact="0" compactData="0" multipleFieldFilters="0">
  <location ref="A3:N25" firstHeaderRow="0" firstDataRow="2" firstDataCol="2"/>
  <pivotFields count="27">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15"/>
        <item x="3"/>
        <item x="19"/>
        <item x="18"/>
        <item x="4"/>
        <item x="14"/>
        <item x="1"/>
        <item x="8"/>
        <item x="11"/>
        <item x="0"/>
        <item x="2"/>
        <item x="6"/>
        <item x="5"/>
        <item x="10"/>
        <item x="13"/>
        <item x="16"/>
        <item x="7"/>
        <item x="12"/>
        <item x="9"/>
        <item x="17"/>
        <item m="1" x="22"/>
        <item m="1" x="21"/>
        <item x="20"/>
      </items>
      <extLst>
        <ext xmlns:x14="http://schemas.microsoft.com/office/spreadsheetml/2009/9/main" uri="{2946ED86-A175-432a-8AC1-64E0C546D7DE}">
          <x14:pivotField fillDownLabels="1"/>
        </ext>
      </extLst>
    </pivotField>
    <pivotField axis="axisRow" compact="0" outline="0" showAll="0" defaultSubtotal="0">
      <items count="21">
        <item x="7"/>
        <item x="14"/>
        <item x="0"/>
        <item x="1"/>
        <item x="2"/>
        <item x="19"/>
        <item x="3"/>
        <item x="4"/>
        <item x="18"/>
        <item x="5"/>
        <item x="6"/>
        <item x="8"/>
        <item x="11"/>
        <item x="15"/>
        <item x="16"/>
        <item x="17"/>
        <item x="9"/>
        <item x="12"/>
        <item x="10"/>
        <item x="13"/>
        <item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showAll="0" defaultSubtotal="0">
      <items count="3">
        <item n="GoU" x="0"/>
        <item n="EF" x="1"/>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3"/>
    <field x="4"/>
  </rowFields>
  <rowItems count="21">
    <i>
      <x/>
      <x v="13"/>
    </i>
    <i>
      <x v="1"/>
      <x v="6"/>
    </i>
    <i>
      <x v="2"/>
      <x v="5"/>
    </i>
    <i>
      <x v="3"/>
      <x v="8"/>
    </i>
    <i>
      <x v="4"/>
      <x v="7"/>
    </i>
    <i>
      <x v="5"/>
      <x v="1"/>
    </i>
    <i>
      <x v="6"/>
      <x v="3"/>
    </i>
    <i>
      <x v="7"/>
      <x v="11"/>
    </i>
    <i>
      <x v="8"/>
      <x v="12"/>
    </i>
    <i>
      <x v="9"/>
      <x v="2"/>
    </i>
    <i>
      <x v="10"/>
      <x v="4"/>
    </i>
    <i>
      <x v="11"/>
      <x v="10"/>
    </i>
    <i>
      <x v="12"/>
      <x v="9"/>
    </i>
    <i>
      <x v="13"/>
      <x v="18"/>
    </i>
    <i>
      <x v="14"/>
      <x v="19"/>
    </i>
    <i>
      <x v="15"/>
      <x v="14"/>
    </i>
    <i>
      <x v="16"/>
      <x/>
    </i>
    <i>
      <x v="17"/>
      <x v="17"/>
    </i>
    <i>
      <x v="18"/>
      <x v="16"/>
    </i>
    <i>
      <x v="19"/>
      <x v="15"/>
    </i>
    <i>
      <x v="22"/>
      <x v="20"/>
    </i>
  </rowItems>
  <colFields count="2">
    <field x="-2"/>
    <field x="6"/>
  </colFields>
  <colItems count="12">
    <i>
      <x/>
      <x/>
    </i>
    <i r="1">
      <x v="1"/>
    </i>
    <i i="1">
      <x v="1"/>
      <x/>
    </i>
    <i r="1" i="1">
      <x v="1"/>
    </i>
    <i i="2">
      <x v="2"/>
      <x/>
    </i>
    <i r="1" i="2">
      <x v="1"/>
    </i>
    <i i="3">
      <x v="3"/>
      <x/>
    </i>
    <i r="1" i="3">
      <x v="1"/>
    </i>
    <i i="4">
      <x v="4"/>
      <x/>
    </i>
    <i r="1" i="4">
      <x v="1"/>
    </i>
    <i i="5">
      <x v="5"/>
      <x/>
    </i>
    <i r="1" i="5">
      <x v="1"/>
    </i>
  </colItems>
  <dataFields count="6">
    <dataField name="Arrears" fld="13" baseField="0" baseItem="0"/>
    <dataField name="FY2021-22" fld="16" baseField="0" baseItem="0" numFmtId="172"/>
    <dataField name="FY2022-23" fld="17" baseField="0" baseItem="0" numFmtId="172"/>
    <dataField name="FY2023-24 " fld="18" baseField="0" baseItem="0" numFmtId="172"/>
    <dataField name="FY2024-25 " fld="19" baseField="0" baseItem="0" numFmtId="172"/>
    <dataField name="FY2025-26 " fld="20" baseField="0" baseItem="0" numFmtId="172"/>
  </dataFields>
  <formats count="43">
    <format dxfId="347">
      <pivotArea dataOnly="0" labelOnly="1" outline="0" fieldPosition="0">
        <references count="1">
          <reference field="4294967294" count="2">
            <x v="0"/>
            <x v="1"/>
          </reference>
        </references>
      </pivotArea>
    </format>
    <format dxfId="346">
      <pivotArea outline="0" collapsedLevelsAreSubtotals="1" fieldPosition="0">
        <references count="1">
          <reference field="4294967294" count="5" selected="0">
            <x v="1"/>
            <x v="2"/>
            <x v="3"/>
            <x v="4"/>
            <x v="5"/>
          </reference>
        </references>
      </pivotArea>
    </format>
    <format dxfId="345">
      <pivotArea dataOnly="0" outline="0" fieldPosition="0">
        <references count="1">
          <reference field="4294967294" count="6">
            <x v="0"/>
            <x v="1"/>
            <x v="2"/>
            <x v="3"/>
            <x v="4"/>
            <x v="5"/>
          </reference>
        </references>
      </pivotArea>
    </format>
    <format dxfId="344">
      <pivotArea dataOnly="0" labelOnly="1" outline="0" fieldPosition="0">
        <references count="1">
          <reference field="4294967294" count="1">
            <x v="1"/>
          </reference>
        </references>
      </pivotArea>
    </format>
    <format dxfId="343">
      <pivotArea dataOnly="0" labelOnly="1" outline="0" fieldPosition="0">
        <references count="1">
          <reference field="4294967294" count="1">
            <x v="1"/>
          </reference>
        </references>
      </pivotArea>
    </format>
    <format dxfId="342">
      <pivotArea type="origin" dataOnly="0" labelOnly="1" outline="0" fieldPosition="0"/>
    </format>
    <format dxfId="341">
      <pivotArea field="-2" type="button" dataOnly="0" labelOnly="1" outline="0" axis="axisCol" fieldPosition="0"/>
    </format>
    <format dxfId="340">
      <pivotArea field="6" type="button" dataOnly="0" labelOnly="1" outline="0" axis="axisCol" fieldPosition="1"/>
    </format>
    <format dxfId="339">
      <pivotArea type="topRight" dataOnly="0" labelOnly="1" outline="0" fieldPosition="0"/>
    </format>
    <format dxfId="338">
      <pivotArea field="3" type="button" dataOnly="0" labelOnly="1" outline="0" axis="axisRow" fieldPosition="0"/>
    </format>
    <format dxfId="337">
      <pivotArea dataOnly="0" labelOnly="1" outline="0" fieldPosition="0">
        <references count="1">
          <reference field="4294967294" count="6">
            <x v="0"/>
            <x v="1"/>
            <x v="2"/>
            <x v="3"/>
            <x v="4"/>
            <x v="5"/>
          </reference>
        </references>
      </pivotArea>
    </format>
    <format dxfId="336">
      <pivotArea field="6" dataOnly="0" labelOnly="1" grandCol="1" outline="0" axis="axisCol" fieldPosition="1">
        <references count="1">
          <reference field="4294967294" count="1" selected="0">
            <x v="0"/>
          </reference>
        </references>
      </pivotArea>
    </format>
    <format dxfId="335">
      <pivotArea field="6" dataOnly="0" labelOnly="1" grandCol="1" outline="0" axis="axisCol" fieldPosition="1">
        <references count="1">
          <reference field="4294967294" count="1" selected="0">
            <x v="1"/>
          </reference>
        </references>
      </pivotArea>
    </format>
    <format dxfId="334">
      <pivotArea field="6" dataOnly="0" labelOnly="1" grandCol="1" outline="0" axis="axisCol" fieldPosition="1">
        <references count="1">
          <reference field="4294967294" count="1" selected="0">
            <x v="2"/>
          </reference>
        </references>
      </pivotArea>
    </format>
    <format dxfId="333">
      <pivotArea field="6" dataOnly="0" labelOnly="1" grandCol="1" outline="0" axis="axisCol" fieldPosition="1">
        <references count="1">
          <reference field="4294967294" count="1" selected="0">
            <x v="3"/>
          </reference>
        </references>
      </pivotArea>
    </format>
    <format dxfId="332">
      <pivotArea field="6" dataOnly="0" labelOnly="1" grandCol="1" outline="0" axis="axisCol" fieldPosition="1">
        <references count="1">
          <reference field="4294967294" count="1" selected="0">
            <x v="4"/>
          </reference>
        </references>
      </pivotArea>
    </format>
    <format dxfId="331">
      <pivotArea field="6" dataOnly="0" labelOnly="1" grandCol="1" outline="0" axis="axisCol" fieldPosition="1">
        <references count="1">
          <reference field="4294967294" count="1" selected="0">
            <x v="5"/>
          </reference>
        </references>
      </pivotArea>
    </format>
    <format dxfId="330">
      <pivotArea dataOnly="0" labelOnly="1" outline="0" fieldPosition="0">
        <references count="1">
          <reference field="4294967294" count="1">
            <x v="0"/>
          </reference>
        </references>
      </pivotArea>
    </format>
    <format dxfId="329">
      <pivotArea dataOnly="0" labelOnly="1" fieldPosition="0">
        <references count="2">
          <reference field="4294967294" count="1" selected="0">
            <x v="0"/>
          </reference>
          <reference field="6" count="0"/>
        </references>
      </pivotArea>
    </format>
    <format dxfId="328">
      <pivotArea dataOnly="0" labelOnly="1" outline="0" fieldPosition="0">
        <references count="1">
          <reference field="4294967294" count="1">
            <x v="1"/>
          </reference>
        </references>
      </pivotArea>
    </format>
    <format dxfId="327">
      <pivotArea dataOnly="0" labelOnly="1" fieldPosition="0">
        <references count="2">
          <reference field="4294967294" count="1" selected="0">
            <x v="1"/>
          </reference>
          <reference field="6" count="0"/>
        </references>
      </pivotArea>
    </format>
    <format dxfId="326">
      <pivotArea dataOnly="0" labelOnly="1" outline="0" fieldPosition="0">
        <references count="1">
          <reference field="4294967294" count="1">
            <x v="2"/>
          </reference>
        </references>
      </pivotArea>
    </format>
    <format dxfId="325">
      <pivotArea dataOnly="0" labelOnly="1" fieldPosition="0">
        <references count="2">
          <reference field="4294967294" count="1" selected="0">
            <x v="2"/>
          </reference>
          <reference field="6" count="0"/>
        </references>
      </pivotArea>
    </format>
    <format dxfId="324">
      <pivotArea dataOnly="0" labelOnly="1" outline="0" fieldPosition="0">
        <references count="1">
          <reference field="4294967294" count="1">
            <x v="3"/>
          </reference>
        </references>
      </pivotArea>
    </format>
    <format dxfId="323">
      <pivotArea dataOnly="0" labelOnly="1" fieldPosition="0">
        <references count="2">
          <reference field="4294967294" count="1" selected="0">
            <x v="3"/>
          </reference>
          <reference field="6" count="0"/>
        </references>
      </pivotArea>
    </format>
    <format dxfId="322">
      <pivotArea dataOnly="0" labelOnly="1" outline="0" fieldPosition="0">
        <references count="1">
          <reference field="4294967294" count="1">
            <x v="5"/>
          </reference>
        </references>
      </pivotArea>
    </format>
    <format dxfId="321">
      <pivotArea dataOnly="0" labelOnly="1" fieldPosition="0">
        <references count="2">
          <reference field="4294967294" count="1" selected="0">
            <x v="5"/>
          </reference>
          <reference field="6" count="0"/>
        </references>
      </pivotArea>
    </format>
    <format dxfId="320">
      <pivotArea dataOnly="0" labelOnly="1" outline="0" fieldPosition="0">
        <references count="1">
          <reference field="4294967294" count="1">
            <x v="4"/>
          </reference>
        </references>
      </pivotArea>
    </format>
    <format dxfId="319">
      <pivotArea dataOnly="0" labelOnly="1" fieldPosition="0">
        <references count="2">
          <reference field="4294967294" count="1" selected="0">
            <x v="4"/>
          </reference>
          <reference field="6" count="0"/>
        </references>
      </pivotArea>
    </format>
    <format dxfId="318">
      <pivotArea dataOnly="0" labelOnly="1" outline="0" fieldPosition="0">
        <references count="1">
          <reference field="4294967294" count="1">
            <x v="1"/>
          </reference>
        </references>
      </pivotArea>
    </format>
    <format dxfId="317">
      <pivotArea dataOnly="0" labelOnly="1" fieldPosition="0">
        <references count="2">
          <reference field="4294967294" count="1" selected="0">
            <x v="1"/>
          </reference>
          <reference field="6" count="0"/>
        </references>
      </pivotArea>
    </format>
    <format dxfId="316">
      <pivotArea dataOnly="0" labelOnly="1" outline="0" fieldPosition="0">
        <references count="1">
          <reference field="4294967294" count="1">
            <x v="0"/>
          </reference>
        </references>
      </pivotArea>
    </format>
    <format dxfId="315">
      <pivotArea dataOnly="0" labelOnly="1" fieldPosition="0">
        <references count="2">
          <reference field="4294967294" count="1" selected="0">
            <x v="0"/>
          </reference>
          <reference field="6" count="0"/>
        </references>
      </pivotArea>
    </format>
    <format dxfId="314">
      <pivotArea field="3" type="button" dataOnly="0" labelOnly="1" outline="0" axis="axisRow" fieldPosition="0"/>
    </format>
    <format dxfId="313">
      <pivotArea dataOnly="0" labelOnly="1" fieldPosition="0">
        <references count="2">
          <reference field="4294967294" count="1" selected="0">
            <x v="0"/>
          </reference>
          <reference field="6" count="0"/>
        </references>
      </pivotArea>
    </format>
    <format dxfId="312">
      <pivotArea dataOnly="0" labelOnly="1" fieldPosition="0">
        <references count="2">
          <reference field="4294967294" count="1" selected="0">
            <x v="1"/>
          </reference>
          <reference field="6" count="0"/>
        </references>
      </pivotArea>
    </format>
    <format dxfId="311">
      <pivotArea dataOnly="0" labelOnly="1" fieldPosition="0">
        <references count="2">
          <reference field="4294967294" count="1" selected="0">
            <x v="2"/>
          </reference>
          <reference field="6" count="0"/>
        </references>
      </pivotArea>
    </format>
    <format dxfId="310">
      <pivotArea dataOnly="0" labelOnly="1" fieldPosition="0">
        <references count="2">
          <reference field="4294967294" count="1" selected="0">
            <x v="3"/>
          </reference>
          <reference field="6" count="0"/>
        </references>
      </pivotArea>
    </format>
    <format dxfId="309">
      <pivotArea dataOnly="0" labelOnly="1" fieldPosition="0">
        <references count="2">
          <reference field="4294967294" count="1" selected="0">
            <x v="4"/>
          </reference>
          <reference field="6" count="0"/>
        </references>
      </pivotArea>
    </format>
    <format dxfId="308">
      <pivotArea dataOnly="0" labelOnly="1" fieldPosition="0">
        <references count="2">
          <reference field="4294967294" count="1" selected="0">
            <x v="5"/>
          </reference>
          <reference field="6" count="0"/>
        </references>
      </pivotArea>
    </format>
    <format dxfId="307">
      <pivotArea dataOnly="0" labelOnly="1" outline="0" fieldPosition="0">
        <references count="1">
          <reference field="4294967294" count="1">
            <x v="1"/>
          </reference>
        </references>
      </pivotArea>
    </format>
    <format dxfId="306">
      <pivotArea outline="0" collapsedLevelsAreSubtotals="1" fieldPosition="0"/>
    </format>
    <format dxfId="305">
      <pivotArea outline="0" fieldPosition="0">
        <references count="4">
          <reference field="4294967294" count="1" selected="0">
            <x v="1"/>
          </reference>
          <reference field="3" count="1" selected="0">
            <x v="13"/>
          </reference>
          <reference field="4" count="1" selected="0">
            <x v="18"/>
          </reference>
          <reference field="6"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PivotTable16" cacheId="4" dataPosition="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A3:E26" firstHeaderRow="1" firstDataRow="3" firstDataCol="1"/>
  <pivotFields count="27">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15"/>
        <item x="3"/>
        <item x="19"/>
        <item x="18"/>
        <item x="4"/>
        <item x="14"/>
        <item x="1"/>
        <item x="8"/>
        <item x="11"/>
        <item x="0"/>
        <item x="2"/>
        <item x="6"/>
        <item x="5"/>
        <item x="10"/>
        <item x="13"/>
        <item x="16"/>
        <item x="7"/>
        <item x="12"/>
        <item x="9"/>
        <item x="17"/>
        <item m="1" x="22"/>
        <item m="1" x="21"/>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n="GoU Funded _x000a_(a)" x="0"/>
        <item n="External Financing _x000a_(b)" x="1"/>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3"/>
  </rowFields>
  <rowItems count="21">
    <i>
      <x/>
    </i>
    <i>
      <x v="1"/>
    </i>
    <i>
      <x v="2"/>
    </i>
    <i>
      <x v="3"/>
    </i>
    <i>
      <x v="4"/>
    </i>
    <i>
      <x v="5"/>
    </i>
    <i>
      <x v="6"/>
    </i>
    <i>
      <x v="7"/>
    </i>
    <i>
      <x v="8"/>
    </i>
    <i>
      <x v="9"/>
    </i>
    <i>
      <x v="10"/>
    </i>
    <i>
      <x v="11"/>
    </i>
    <i>
      <x v="12"/>
    </i>
    <i>
      <x v="13"/>
    </i>
    <i>
      <x v="14"/>
    </i>
    <i>
      <x v="15"/>
    </i>
    <i>
      <x v="16"/>
    </i>
    <i>
      <x v="17"/>
    </i>
    <i>
      <x v="18"/>
    </i>
    <i>
      <x v="19"/>
    </i>
    <i>
      <x v="22"/>
    </i>
  </rowItems>
  <colFields count="2">
    <field x="-2"/>
    <field x="6"/>
  </colFields>
  <colItems count="4">
    <i>
      <x/>
      <x/>
    </i>
    <i r="1">
      <x v="1"/>
    </i>
    <i i="1">
      <x v="1"/>
      <x/>
    </i>
    <i r="1" i="1">
      <x v="1"/>
    </i>
  </colItems>
  <dataFields count="2">
    <dataField name="Arrears" fld="13" baseField="0" baseItem="0"/>
    <dataField name="Arrears + Commitments (FY21/22)" fld="16" baseField="0" baseItem="0" numFmtId="172"/>
  </dataFields>
  <formats count="28">
    <format dxfId="269">
      <pivotArea dataOnly="0" labelOnly="1" outline="0" fieldPosition="0">
        <references count="1">
          <reference field="4294967294" count="2">
            <x v="0"/>
            <x v="1"/>
          </reference>
        </references>
      </pivotArea>
    </format>
    <format dxfId="268">
      <pivotArea outline="0" collapsedLevelsAreSubtotals="1" fieldPosition="0">
        <references count="1">
          <reference field="4294967294" count="1" selected="0">
            <x v="1"/>
          </reference>
        </references>
      </pivotArea>
    </format>
    <format dxfId="267">
      <pivotArea dataOnly="0" outline="0" fieldPosition="0">
        <references count="1">
          <reference field="4294967294" count="2">
            <x v="0"/>
            <x v="1"/>
          </reference>
        </references>
      </pivotArea>
    </format>
    <format dxfId="266">
      <pivotArea dataOnly="0" labelOnly="1" outline="0" fieldPosition="0">
        <references count="1">
          <reference field="4294967294" count="1">
            <x v="1"/>
          </reference>
        </references>
      </pivotArea>
    </format>
    <format dxfId="265">
      <pivotArea dataOnly="0" labelOnly="1" outline="0" fieldPosition="0">
        <references count="1">
          <reference field="4294967294" count="1">
            <x v="1"/>
          </reference>
        </references>
      </pivotArea>
    </format>
    <format dxfId="264">
      <pivotArea type="origin" dataOnly="0" labelOnly="1" outline="0" fieldPosition="0"/>
    </format>
    <format dxfId="263">
      <pivotArea field="-2" type="button" dataOnly="0" labelOnly="1" outline="0" axis="axisCol" fieldPosition="0"/>
    </format>
    <format dxfId="262">
      <pivotArea field="6" type="button" dataOnly="0" labelOnly="1" outline="0" axis="axisCol" fieldPosition="1"/>
    </format>
    <format dxfId="261">
      <pivotArea type="topRight" dataOnly="0" labelOnly="1" outline="0" fieldPosition="0"/>
    </format>
    <format dxfId="260">
      <pivotArea field="3" type="button" dataOnly="0" labelOnly="1" outline="0" axis="axisRow" fieldPosition="0"/>
    </format>
    <format dxfId="259">
      <pivotArea dataOnly="0" labelOnly="1" outline="0" fieldPosition="0">
        <references count="1">
          <reference field="4294967294" count="2">
            <x v="0"/>
            <x v="1"/>
          </reference>
        </references>
      </pivotArea>
    </format>
    <format dxfId="258">
      <pivotArea field="6" dataOnly="0" labelOnly="1" grandRow="1" outline="0" axis="axisCol" fieldPosition="1">
        <references count="1">
          <reference field="4294967294" count="1" selected="0">
            <x v="0"/>
          </reference>
        </references>
      </pivotArea>
    </format>
    <format dxfId="257">
      <pivotArea field="6" dataOnly="0" labelOnly="1" grandRow="1" outline="0" axis="axisCol" fieldPosition="1">
        <references count="1">
          <reference field="4294967294" count="1" selected="0">
            <x v="1"/>
          </reference>
        </references>
      </pivotArea>
    </format>
    <format dxfId="256">
      <pivotArea dataOnly="0" labelOnly="1" outline="0" fieldPosition="0">
        <references count="1">
          <reference field="4294967294" count="1">
            <x v="0"/>
          </reference>
        </references>
      </pivotArea>
    </format>
    <format dxfId="255">
      <pivotArea dataOnly="0" labelOnly="1" outline="0" fieldPosition="0">
        <references count="1">
          <reference field="4294967294" count="1">
            <x v="1"/>
          </reference>
        </references>
      </pivotArea>
    </format>
    <format dxfId="254">
      <pivotArea dataOnly="0" labelOnly="1" outline="0" fieldPosition="0">
        <references count="1">
          <reference field="4294967294" count="1">
            <x v="1"/>
          </reference>
        </references>
      </pivotArea>
    </format>
    <format dxfId="253">
      <pivotArea dataOnly="0" labelOnly="1" outline="0" fieldPosition="0">
        <references count="1">
          <reference field="4294967294" count="1">
            <x v="0"/>
          </reference>
        </references>
      </pivotArea>
    </format>
    <format dxfId="252">
      <pivotArea field="3" type="button" dataOnly="0" labelOnly="1" outline="0" axis="axisRow" fieldPosition="0"/>
    </format>
    <format dxfId="251">
      <pivotArea field="3" type="button" dataOnly="0" labelOnly="1" outline="0" axis="axisRow" fieldPosition="0"/>
    </format>
    <format dxfId="250">
      <pivotArea dataOnly="0" labelOnly="1" fieldPosition="0">
        <references count="1">
          <reference field="3" count="0"/>
        </references>
      </pivotArea>
    </format>
    <format dxfId="249">
      <pivotArea dataOnly="0" labelOnly="1" outline="0" fieldPosition="0">
        <references count="1">
          <reference field="4294967294" count="1">
            <x v="1"/>
          </reference>
        </references>
      </pivotArea>
    </format>
    <format dxfId="248">
      <pivotArea field="3" type="button" dataOnly="0" labelOnly="1" outline="0" axis="axisRow" fieldPosition="0"/>
    </format>
    <format dxfId="247">
      <pivotArea dataOnly="0" labelOnly="1" outline="0" fieldPosition="0">
        <references count="1">
          <reference field="4294967294" count="2">
            <x v="0"/>
            <x v="1"/>
          </reference>
        </references>
      </pivotArea>
    </format>
    <format dxfId="246">
      <pivotArea dataOnly="0" labelOnly="1" outline="0" fieldPosition="0">
        <references count="1">
          <reference field="4294967294" count="1">
            <x v="1"/>
          </reference>
        </references>
      </pivotArea>
    </format>
    <format dxfId="245">
      <pivotArea dataOnly="0" labelOnly="1" fieldPosition="0">
        <references count="2">
          <reference field="4294967294" count="1" selected="0">
            <x v="1"/>
          </reference>
          <reference field="6" count="1">
            <x v="0"/>
          </reference>
        </references>
      </pivotArea>
    </format>
    <format dxfId="244">
      <pivotArea dataOnly="0" labelOnly="1" fieldPosition="0">
        <references count="2">
          <reference field="4294967294" count="1" selected="0">
            <x v="1"/>
          </reference>
          <reference field="6" count="1">
            <x v="0"/>
          </reference>
        </references>
      </pivotArea>
    </format>
    <format dxfId="243">
      <pivotArea dataOnly="0" labelOnly="1" fieldPosition="0">
        <references count="2">
          <reference field="4294967294" count="1" selected="0">
            <x v="1"/>
          </reference>
          <reference field="6" count="1">
            <x v="1"/>
          </reference>
        </references>
      </pivotArea>
    </format>
    <format dxfId="242">
      <pivotArea dataOnly="0" labelOnly="1" fieldPosition="0">
        <references count="2">
          <reference field="4294967294" count="1" selected="0">
            <x v="1"/>
          </reference>
          <reference field="6"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PivotTable16" cacheId="4"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olHeaderCaption="Commitments">
  <location ref="A3:C8" firstHeaderRow="1" firstDataRow="2" firstDataCol="1" rowPageCount="1" colPageCount="1"/>
  <pivotFields count="27">
    <pivotField showAll="0"/>
    <pivotField showAll="0"/>
    <pivotField showAll="0"/>
    <pivotField axis="axisPage" showAll="0">
      <items count="24">
        <item x="15"/>
        <item x="3"/>
        <item x="19"/>
        <item x="18"/>
        <item x="4"/>
        <item x="14"/>
        <item x="1"/>
        <item x="8"/>
        <item x="11"/>
        <item x="0"/>
        <item x="2"/>
        <item x="6"/>
        <item x="5"/>
        <item x="10"/>
        <item x="13"/>
        <item x="16"/>
        <item x="7"/>
        <item x="12"/>
        <item x="9"/>
        <item x="17"/>
        <item m="1" x="22"/>
        <item m="1" x="21"/>
        <item x="20"/>
        <item t="default"/>
      </items>
    </pivotField>
    <pivotField showAll="0"/>
    <pivotField showAll="0"/>
    <pivotField axis="axisCol" showAll="0">
      <items count="4">
        <item n="GoU Funded _x000a_(a)" x="0"/>
        <item n="External Financing _x000a_(b)" x="1"/>
        <item h="1" x="2"/>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numFmtId="167" showAll="0"/>
    <pivotField showAll="0"/>
    <pivotField showAll="0"/>
    <pivotField showAll="0"/>
    <pivotField showAll="0"/>
  </pivotFields>
  <rowFields count="1">
    <field x="-2"/>
  </rowFields>
  <rowItems count="4">
    <i>
      <x/>
    </i>
    <i i="1">
      <x v="1"/>
    </i>
    <i i="2">
      <x v="2"/>
    </i>
    <i i="3">
      <x v="3"/>
    </i>
  </rowItems>
  <colFields count="1">
    <field x="6"/>
  </colFields>
  <colItems count="2">
    <i>
      <x/>
    </i>
    <i>
      <x v="1"/>
    </i>
  </colItems>
  <pageFields count="1">
    <pageField fld="3" item="13" hier="-1"/>
  </pageFields>
  <dataFields count="4">
    <dataField name="FY0 (FY21-22)" fld="16" baseField="0" baseItem="0" numFmtId="172"/>
    <dataField name="FY1 (FY22-23) " fld="17" baseField="0" baseItem="0" numFmtId="172"/>
    <dataField name="FY2 (FY23-24) " fld="18" baseField="0" baseItem="0" numFmtId="172"/>
    <dataField name="FY3 (FY24-25) " fld="19" baseField="0" baseItem="0" numFmtId="172"/>
  </dataFields>
  <formats count="62">
    <format dxfId="241">
      <pivotArea dataOnly="0" labelOnly="1" outline="0" fieldPosition="0">
        <references count="1">
          <reference field="4294967294" count="1">
            <x v="0"/>
          </reference>
        </references>
      </pivotArea>
    </format>
    <format dxfId="240">
      <pivotArea outline="0" collapsedLevelsAreSubtotals="1" fieldPosition="0">
        <references count="1">
          <reference field="4294967294" count="4" selected="0">
            <x v="0"/>
            <x v="1"/>
            <x v="2"/>
            <x v="3"/>
          </reference>
        </references>
      </pivotArea>
    </format>
    <format dxfId="239">
      <pivotArea dataOnly="0" outline="0" fieldPosition="0">
        <references count="1">
          <reference field="4294967294" count="4">
            <x v="0"/>
            <x v="1"/>
            <x v="2"/>
            <x v="3"/>
          </reference>
        </references>
      </pivotArea>
    </format>
    <format dxfId="238">
      <pivotArea dataOnly="0" labelOnly="1" outline="0" fieldPosition="0">
        <references count="1">
          <reference field="4294967294" count="1">
            <x v="0"/>
          </reference>
        </references>
      </pivotArea>
    </format>
    <format dxfId="237">
      <pivotArea dataOnly="0" labelOnly="1" outline="0" fieldPosition="0">
        <references count="1">
          <reference field="4294967294" count="1">
            <x v="0"/>
          </reference>
        </references>
      </pivotArea>
    </format>
    <format dxfId="236">
      <pivotArea type="origin" dataOnly="0" labelOnly="1" outline="0" fieldPosition="0"/>
    </format>
    <format dxfId="235">
      <pivotArea field="-2" type="button" dataOnly="0" labelOnly="1" outline="0" axis="axisRow" fieldPosition="0"/>
    </format>
    <format dxfId="234">
      <pivotArea field="6" type="button" dataOnly="0" labelOnly="1" outline="0" axis="axisCol" fieldPosition="0"/>
    </format>
    <format dxfId="233">
      <pivotArea type="topRight" dataOnly="0" labelOnly="1" outline="0" fieldPosition="0"/>
    </format>
    <format dxfId="232">
      <pivotArea field="3" type="button" dataOnly="0" labelOnly="1" outline="0" axis="axisPage" fieldPosition="0"/>
    </format>
    <format dxfId="231">
      <pivotArea dataOnly="0" labelOnly="1" outline="0" fieldPosition="0">
        <references count="1">
          <reference field="4294967294" count="4">
            <x v="0"/>
            <x v="1"/>
            <x v="2"/>
            <x v="3"/>
          </reference>
        </references>
      </pivotArea>
    </format>
    <format dxfId="230">
      <pivotArea field="6" dataOnly="0" labelOnly="1" grandCol="1" outline="0" axis="axisCol" fieldPosition="0">
        <references count="1">
          <reference field="4294967294" count="1" selected="0">
            <x v="0"/>
          </reference>
        </references>
      </pivotArea>
    </format>
    <format dxfId="229">
      <pivotArea field="6" dataOnly="0" labelOnly="1" grandCol="1" outline="0" axis="axisCol" fieldPosition="0">
        <references count="1">
          <reference field="4294967294" count="1" selected="0">
            <x v="1"/>
          </reference>
        </references>
      </pivotArea>
    </format>
    <format dxfId="228">
      <pivotArea field="6" dataOnly="0" labelOnly="1" grandCol="1" outline="0" axis="axisCol" fieldPosition="0">
        <references count="1">
          <reference field="4294967294" count="1" selected="0">
            <x v="2"/>
          </reference>
        </references>
      </pivotArea>
    </format>
    <format dxfId="227">
      <pivotArea field="6" dataOnly="0" labelOnly="1" grandCol="1" outline="0" axis="axisCol" fieldPosition="0">
        <references count="1">
          <reference field="4294967294" count="1" selected="0">
            <x v="3"/>
          </reference>
        </references>
      </pivotArea>
    </format>
    <format dxfId="226">
      <pivotArea dataOnly="0" labelOnly="1" outline="0" fieldPosition="0">
        <references count="1">
          <reference field="4294967294" count="1">
            <x v="0"/>
          </reference>
        </references>
      </pivotArea>
    </format>
    <format dxfId="225">
      <pivotArea dataOnly="0" labelOnly="1" fieldPosition="0">
        <references count="2">
          <reference field="4294967294" count="1" selected="0">
            <x v="0"/>
          </reference>
          <reference field="6" count="0"/>
        </references>
      </pivotArea>
    </format>
    <format dxfId="224">
      <pivotArea dataOnly="0" labelOnly="1" outline="0" fieldPosition="0">
        <references count="1">
          <reference field="4294967294" count="1">
            <x v="1"/>
          </reference>
        </references>
      </pivotArea>
    </format>
    <format dxfId="223">
      <pivotArea dataOnly="0" labelOnly="1" fieldPosition="0">
        <references count="2">
          <reference field="4294967294" count="1" selected="0">
            <x v="1"/>
          </reference>
          <reference field="6" count="0"/>
        </references>
      </pivotArea>
    </format>
    <format dxfId="222">
      <pivotArea dataOnly="0" labelOnly="1" outline="0" fieldPosition="0">
        <references count="1">
          <reference field="4294967294" count="1">
            <x v="2"/>
          </reference>
        </references>
      </pivotArea>
    </format>
    <format dxfId="221">
      <pivotArea dataOnly="0" labelOnly="1" fieldPosition="0">
        <references count="2">
          <reference field="4294967294" count="1" selected="0">
            <x v="2"/>
          </reference>
          <reference field="6" count="0"/>
        </references>
      </pivotArea>
    </format>
    <format dxfId="220">
      <pivotArea dataOnly="0" labelOnly="1" outline="0" fieldPosition="0">
        <references count="1">
          <reference field="4294967294" count="1">
            <x v="3"/>
          </reference>
        </references>
      </pivotArea>
    </format>
    <format dxfId="219">
      <pivotArea dataOnly="0" labelOnly="1" fieldPosition="0">
        <references count="2">
          <reference field="4294967294" count="1" selected="0">
            <x v="3"/>
          </reference>
          <reference field="6" count="0"/>
        </references>
      </pivotArea>
    </format>
    <format dxfId="218">
      <pivotArea dataOnly="0" labelOnly="1" outline="0" fieldPosition="0">
        <references count="1">
          <reference field="4294967294" count="1">
            <x v="0"/>
          </reference>
        </references>
      </pivotArea>
    </format>
    <format dxfId="217">
      <pivotArea dataOnly="0" labelOnly="1" fieldPosition="0">
        <references count="2">
          <reference field="4294967294" count="1" selected="0">
            <x v="0"/>
          </reference>
          <reference field="6" count="0"/>
        </references>
      </pivotArea>
    </format>
    <format dxfId="216">
      <pivotArea field="3" type="button" dataOnly="0" labelOnly="1" outline="0" axis="axisPage" fieldPosition="0"/>
    </format>
    <format dxfId="215">
      <pivotArea dataOnly="0" labelOnly="1" fieldPosition="0">
        <references count="2">
          <reference field="4294967294" count="1" selected="0">
            <x v="0"/>
          </reference>
          <reference field="6" count="0"/>
        </references>
      </pivotArea>
    </format>
    <format dxfId="214">
      <pivotArea dataOnly="0" labelOnly="1" fieldPosition="0">
        <references count="2">
          <reference field="4294967294" count="1" selected="0">
            <x v="1"/>
          </reference>
          <reference field="6" count="0"/>
        </references>
      </pivotArea>
    </format>
    <format dxfId="213">
      <pivotArea dataOnly="0" labelOnly="1" fieldPosition="0">
        <references count="2">
          <reference field="4294967294" count="1" selected="0">
            <x v="2"/>
          </reference>
          <reference field="6" count="0"/>
        </references>
      </pivotArea>
    </format>
    <format dxfId="212">
      <pivotArea dataOnly="0" labelOnly="1" fieldPosition="0">
        <references count="2">
          <reference field="4294967294" count="1" selected="0">
            <x v="3"/>
          </reference>
          <reference field="6" count="0"/>
        </references>
      </pivotArea>
    </format>
    <format dxfId="211">
      <pivotArea field="3" type="button" dataOnly="0" labelOnly="1" outline="0" axis="axisPage" fieldPosition="0"/>
    </format>
    <format dxfId="210">
      <pivotArea dataOnly="0" labelOnly="1" fieldPosition="0">
        <references count="1">
          <reference field="3" count="0"/>
        </references>
      </pivotArea>
    </format>
    <format dxfId="209">
      <pivotArea dataOnly="0" labelOnly="1" fieldPosition="0">
        <references count="2">
          <reference field="3" count="1" selected="0">
            <x v="0"/>
          </reference>
          <reference field="6" count="0"/>
        </references>
      </pivotArea>
    </format>
    <format dxfId="208">
      <pivotArea dataOnly="0" labelOnly="1" fieldPosition="0">
        <references count="2">
          <reference field="3" count="1" selected="0">
            <x v="1"/>
          </reference>
          <reference field="6" count="0"/>
        </references>
      </pivotArea>
    </format>
    <format dxfId="207">
      <pivotArea dataOnly="0" labelOnly="1" fieldPosition="0">
        <references count="2">
          <reference field="3" count="1" selected="0">
            <x v="2"/>
          </reference>
          <reference field="6" count="1">
            <x v="0"/>
          </reference>
        </references>
      </pivotArea>
    </format>
    <format dxfId="206">
      <pivotArea dataOnly="0" labelOnly="1" fieldPosition="0">
        <references count="2">
          <reference field="3" count="1" selected="0">
            <x v="3"/>
          </reference>
          <reference field="6" count="0"/>
        </references>
      </pivotArea>
    </format>
    <format dxfId="205">
      <pivotArea dataOnly="0" labelOnly="1" fieldPosition="0">
        <references count="2">
          <reference field="3" count="1" selected="0">
            <x v="4"/>
          </reference>
          <reference field="6" count="0"/>
        </references>
      </pivotArea>
    </format>
    <format dxfId="204">
      <pivotArea dataOnly="0" labelOnly="1" fieldPosition="0">
        <references count="2">
          <reference field="3" count="1" selected="0">
            <x v="5"/>
          </reference>
          <reference field="6" count="0"/>
        </references>
      </pivotArea>
    </format>
    <format dxfId="203">
      <pivotArea dataOnly="0" labelOnly="1" fieldPosition="0">
        <references count="2">
          <reference field="3" count="1" selected="0">
            <x v="6"/>
          </reference>
          <reference field="6" count="0"/>
        </references>
      </pivotArea>
    </format>
    <format dxfId="202">
      <pivotArea dataOnly="0" labelOnly="1" fieldPosition="0">
        <references count="2">
          <reference field="3" count="1" selected="0">
            <x v="7"/>
          </reference>
          <reference field="6" count="1">
            <x v="0"/>
          </reference>
        </references>
      </pivotArea>
    </format>
    <format dxfId="201">
      <pivotArea dataOnly="0" labelOnly="1" fieldPosition="0">
        <references count="2">
          <reference field="3" count="1" selected="0">
            <x v="8"/>
          </reference>
          <reference field="6" count="0"/>
        </references>
      </pivotArea>
    </format>
    <format dxfId="200">
      <pivotArea dataOnly="0" labelOnly="1" fieldPosition="0">
        <references count="2">
          <reference field="3" count="1" selected="0">
            <x v="9"/>
          </reference>
          <reference field="6" count="0"/>
        </references>
      </pivotArea>
    </format>
    <format dxfId="199">
      <pivotArea dataOnly="0" labelOnly="1" fieldPosition="0">
        <references count="2">
          <reference field="3" count="1" selected="0">
            <x v="10"/>
          </reference>
          <reference field="6" count="1">
            <x v="0"/>
          </reference>
        </references>
      </pivotArea>
    </format>
    <format dxfId="198">
      <pivotArea dataOnly="0" labelOnly="1" fieldPosition="0">
        <references count="2">
          <reference field="3" count="1" selected="0">
            <x v="11"/>
          </reference>
          <reference field="6" count="1">
            <x v="0"/>
          </reference>
        </references>
      </pivotArea>
    </format>
    <format dxfId="197">
      <pivotArea dataOnly="0" labelOnly="1" fieldPosition="0">
        <references count="2">
          <reference field="3" count="1" selected="0">
            <x v="12"/>
          </reference>
          <reference field="6" count="0"/>
        </references>
      </pivotArea>
    </format>
    <format dxfId="196">
      <pivotArea dataOnly="0" labelOnly="1" fieldPosition="0">
        <references count="2">
          <reference field="3" count="1" selected="0">
            <x v="13"/>
          </reference>
          <reference field="6" count="0"/>
        </references>
      </pivotArea>
    </format>
    <format dxfId="195">
      <pivotArea dataOnly="0" labelOnly="1" fieldPosition="0">
        <references count="2">
          <reference field="3" count="1" selected="0">
            <x v="14"/>
          </reference>
          <reference field="6" count="1">
            <x v="0"/>
          </reference>
        </references>
      </pivotArea>
    </format>
    <format dxfId="194">
      <pivotArea dataOnly="0" labelOnly="1" fieldPosition="0">
        <references count="2">
          <reference field="3" count="1" selected="0">
            <x v="15"/>
          </reference>
          <reference field="6" count="0"/>
        </references>
      </pivotArea>
    </format>
    <format dxfId="193">
      <pivotArea dataOnly="0" labelOnly="1" fieldPosition="0">
        <references count="2">
          <reference field="3" count="1" selected="0">
            <x v="16"/>
          </reference>
          <reference field="6" count="1">
            <x v="0"/>
          </reference>
        </references>
      </pivotArea>
    </format>
    <format dxfId="192">
      <pivotArea dataOnly="0" labelOnly="1" fieldPosition="0">
        <references count="2">
          <reference field="3" count="1" selected="0">
            <x v="17"/>
          </reference>
          <reference field="6" count="1">
            <x v="0"/>
          </reference>
        </references>
      </pivotArea>
    </format>
    <format dxfId="191">
      <pivotArea dataOnly="0" labelOnly="1" fieldPosition="0">
        <references count="2">
          <reference field="3" count="1" selected="0">
            <x v="18"/>
          </reference>
          <reference field="6" count="1">
            <x v="0"/>
          </reference>
        </references>
      </pivotArea>
    </format>
    <format dxfId="190">
      <pivotArea dataOnly="0" labelOnly="1" fieldPosition="0">
        <references count="2">
          <reference field="3" count="1" selected="0">
            <x v="19"/>
          </reference>
          <reference field="6" count="1">
            <x v="0"/>
          </reference>
        </references>
      </pivotArea>
    </format>
    <format dxfId="189">
      <pivotArea dataOnly="0" labelOnly="1" fieldPosition="0">
        <references count="2">
          <reference field="3" count="1" selected="0">
            <x v="20"/>
          </reference>
          <reference field="6" count="0"/>
        </references>
      </pivotArea>
    </format>
    <format dxfId="188">
      <pivotArea dataOnly="0" labelOnly="1" outline="0" fieldPosition="0">
        <references count="1">
          <reference field="4294967294" count="1">
            <x v="0"/>
          </reference>
        </references>
      </pivotArea>
    </format>
    <format dxfId="187">
      <pivotArea field="3" type="button" dataOnly="0" labelOnly="1" outline="0" axis="axisPage" fieldPosition="0"/>
    </format>
    <format dxfId="186">
      <pivotArea dataOnly="0" labelOnly="1" outline="0" fieldPosition="0">
        <references count="1">
          <reference field="4294967294" count="4">
            <x v="0"/>
            <x v="1"/>
            <x v="2"/>
            <x v="3"/>
          </reference>
        </references>
      </pivotArea>
    </format>
    <format dxfId="185">
      <pivotArea dataOnly="0" labelOnly="1" outline="0" fieldPosition="0">
        <references count="1">
          <reference field="4294967294" count="1">
            <x v="0"/>
          </reference>
        </references>
      </pivotArea>
    </format>
    <format dxfId="184">
      <pivotArea dataOnly="0" labelOnly="1" fieldPosition="0">
        <references count="1">
          <reference field="6" count="1">
            <x v="0"/>
          </reference>
        </references>
      </pivotArea>
    </format>
    <format dxfId="183">
      <pivotArea dataOnly="0" labelOnly="1" fieldPosition="0">
        <references count="1">
          <reference field="6" count="1">
            <x v="0"/>
          </reference>
        </references>
      </pivotArea>
    </format>
    <format dxfId="182">
      <pivotArea dataOnly="0" labelOnly="1" fieldPosition="0">
        <references count="1">
          <reference field="6" count="1">
            <x v="1"/>
          </reference>
        </references>
      </pivotArea>
    </format>
    <format dxfId="181">
      <pivotArea dataOnly="0" labelOnly="1" fieldPosition="0">
        <references count="1">
          <reference field="6" count="1">
            <x v="1"/>
          </reference>
        </references>
      </pivotArea>
    </format>
    <format dxfId="180">
      <pivotArea dataOnly="0" labelOnly="1" fieldPosition="0">
        <references count="1">
          <reference field="6" count="0"/>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6" cacheId="4" applyNumberFormats="0" applyBorderFormats="0" applyFontFormats="0" applyPatternFormats="0" applyAlignmentFormats="0" applyWidthHeightFormats="1" dataCaption="Values" missingCaption="0" updatedVersion="6" minRefreshableVersion="3" rowGrandTotals="0" colGrandTotals="0" itemPrintTitles="1" createdVersion="6" indent="0" outline="1" outlineData="1" multipleFieldFilters="0">
  <location ref="A3:M26" firstHeaderRow="1" firstDataRow="3" firstDataCol="1"/>
  <pivotFields count="27">
    <pivotField showAll="0"/>
    <pivotField axis="axisRow" showAll="0">
      <items count="142">
        <item x="26"/>
        <item x="54"/>
        <item x="55"/>
        <item x="49"/>
        <item x="34"/>
        <item x="56"/>
        <item x="57"/>
        <item x="58"/>
        <item x="99"/>
        <item x="98"/>
        <item x="0"/>
        <item x="59"/>
        <item x="1"/>
        <item x="16"/>
        <item x="4"/>
        <item x="112"/>
        <item x="35"/>
        <item x="30"/>
        <item x="5"/>
        <item x="127"/>
        <item x="60"/>
        <item x="61"/>
        <item x="62"/>
        <item x="63"/>
        <item x="64"/>
        <item x="65"/>
        <item x="66"/>
        <item x="94"/>
        <item x="41"/>
        <item x="113"/>
        <item x="40"/>
        <item x="114"/>
        <item x="67"/>
        <item x="68"/>
        <item x="69"/>
        <item x="70"/>
        <item x="71"/>
        <item x="72"/>
        <item x="73"/>
        <item x="115"/>
        <item x="117"/>
        <item x="25"/>
        <item x="2"/>
        <item x="3"/>
        <item x="17"/>
        <item x="22"/>
        <item x="18"/>
        <item x="133"/>
        <item x="95"/>
        <item x="134"/>
        <item x="6"/>
        <item x="7"/>
        <item x="74"/>
        <item x="75"/>
        <item x="76"/>
        <item x="8"/>
        <item x="19"/>
        <item x="121"/>
        <item x="132"/>
        <item x="102"/>
        <item x="9"/>
        <item x="10"/>
        <item x="128"/>
        <item x="11"/>
        <item x="100"/>
        <item x="120"/>
        <item x="119"/>
        <item x="118"/>
        <item x="27"/>
        <item x="28"/>
        <item x="97"/>
        <item x="125"/>
        <item x="96"/>
        <item x="77"/>
        <item x="122"/>
        <item x="12"/>
        <item x="51"/>
        <item x="13"/>
        <item x="126"/>
        <item x="78"/>
        <item x="135"/>
        <item x="42"/>
        <item x="101"/>
        <item x="44"/>
        <item x="37"/>
        <item x="129"/>
        <item x="130"/>
        <item x="32"/>
        <item x="38"/>
        <item x="79"/>
        <item x="80"/>
        <item x="29"/>
        <item x="116"/>
        <item x="23"/>
        <item x="81"/>
        <item x="82"/>
        <item x="83"/>
        <item x="84"/>
        <item x="85"/>
        <item x="86"/>
        <item x="87"/>
        <item x="103"/>
        <item x="104"/>
        <item x="105"/>
        <item x="31"/>
        <item x="24"/>
        <item x="43"/>
        <item x="33"/>
        <item x="45"/>
        <item x="20"/>
        <item x="21"/>
        <item x="106"/>
        <item x="39"/>
        <item x="138"/>
        <item x="36"/>
        <item x="50"/>
        <item x="136"/>
        <item x="14"/>
        <item x="15"/>
        <item x="88"/>
        <item x="89"/>
        <item x="107"/>
        <item x="123"/>
        <item x="124"/>
        <item x="110"/>
        <item x="111"/>
        <item x="131"/>
        <item x="53"/>
        <item x="52"/>
        <item x="90"/>
        <item x="91"/>
        <item x="92"/>
        <item x="93"/>
        <item x="46"/>
        <item x="47"/>
        <item x="48"/>
        <item x="108"/>
        <item x="137"/>
        <item x="109"/>
        <item x="139"/>
        <item x="140"/>
        <item t="default"/>
      </items>
    </pivotField>
    <pivotField showAll="0"/>
    <pivotField showAll="0">
      <items count="24">
        <item x="15"/>
        <item x="3"/>
        <item x="19"/>
        <item x="18"/>
        <item x="4"/>
        <item x="14"/>
        <item x="1"/>
        <item x="8"/>
        <item x="11"/>
        <item x="0"/>
        <item x="2"/>
        <item x="6"/>
        <item x="5"/>
        <item x="10"/>
        <item x="13"/>
        <item x="16"/>
        <item x="7"/>
        <item x="12"/>
        <item x="9"/>
        <item x="17"/>
        <item m="1" x="22"/>
        <item m="1" x="21"/>
        <item x="20"/>
        <item t="default"/>
      </items>
    </pivotField>
    <pivotField showAll="0"/>
    <pivotField axis="axisRow" showAll="0">
      <items count="22">
        <item sd="0" x="15"/>
        <item sd="0" x="3"/>
        <item sd="0" x="19"/>
        <item sd="0" x="18"/>
        <item sd="0" x="4"/>
        <item sd="0" x="14"/>
        <item sd="0" x="1"/>
        <item sd="0" x="8"/>
        <item sd="0" x="11"/>
        <item sd="0" x="0"/>
        <item sd="0" x="2"/>
        <item sd="0" x="6"/>
        <item sd="0" x="5"/>
        <item sd="0" x="10"/>
        <item sd="0" x="13"/>
        <item sd="0" x="16"/>
        <item sd="0" x="7"/>
        <item sd="0" x="12"/>
        <item sd="0" x="9"/>
        <item sd="0" x="17"/>
        <item sd="0" x="20"/>
        <item t="default" sd="0"/>
      </items>
    </pivotField>
    <pivotField axis="axisCol" showAll="0">
      <items count="4">
        <item x="0"/>
        <item x="1"/>
        <item h="1" x="2"/>
        <item t="default"/>
      </items>
    </pivotField>
    <pivotField showAll="0"/>
    <pivotField showAll="0"/>
    <pivotField showAll="0"/>
    <pivotField showAll="0"/>
    <pivotField showAll="0"/>
    <pivotField showAll="0"/>
    <pivotField dataField="1" showAll="0"/>
    <pivotField showAll="0"/>
    <pivotField showAll="0"/>
    <pivotField dataField="1" showAll="0"/>
    <pivotField dataField="1" showAll="0"/>
    <pivotField dataField="1" showAll="0"/>
    <pivotField dataField="1" showAll="0"/>
    <pivotField dataField="1" showAll="0"/>
    <pivotField showAll="0"/>
    <pivotField numFmtId="167" showAll="0"/>
    <pivotField showAll="0"/>
    <pivotField showAll="0"/>
    <pivotField showAll="0"/>
    <pivotField showAll="0"/>
  </pivotFields>
  <rowFields count="2">
    <field x="5"/>
    <field x="1"/>
  </rowFields>
  <rowItems count="21">
    <i>
      <x/>
    </i>
    <i>
      <x v="1"/>
    </i>
    <i>
      <x v="2"/>
    </i>
    <i>
      <x v="3"/>
    </i>
    <i>
      <x v="4"/>
    </i>
    <i>
      <x v="5"/>
    </i>
    <i>
      <x v="6"/>
    </i>
    <i>
      <x v="7"/>
    </i>
    <i>
      <x v="8"/>
    </i>
    <i>
      <x v="9"/>
    </i>
    <i>
      <x v="10"/>
    </i>
    <i>
      <x v="11"/>
    </i>
    <i>
      <x v="12"/>
    </i>
    <i>
      <x v="13"/>
    </i>
    <i>
      <x v="14"/>
    </i>
    <i>
      <x v="15"/>
    </i>
    <i>
      <x v="16"/>
    </i>
    <i>
      <x v="17"/>
    </i>
    <i>
      <x v="18"/>
    </i>
    <i>
      <x v="19"/>
    </i>
    <i>
      <x v="20"/>
    </i>
  </rowItems>
  <colFields count="2">
    <field x="-2"/>
    <field x="6"/>
  </colFields>
  <colItems count="12">
    <i>
      <x/>
      <x/>
    </i>
    <i r="1">
      <x v="1"/>
    </i>
    <i i="1">
      <x v="1"/>
      <x/>
    </i>
    <i r="1" i="1">
      <x v="1"/>
    </i>
    <i i="2">
      <x v="2"/>
      <x/>
    </i>
    <i r="1" i="2">
      <x v="1"/>
    </i>
    <i i="3">
      <x v="3"/>
      <x/>
    </i>
    <i r="1" i="3">
      <x v="1"/>
    </i>
    <i i="4">
      <x v="4"/>
      <x/>
    </i>
    <i r="1" i="4">
      <x v="1"/>
    </i>
    <i i="5">
      <x v="5"/>
      <x/>
    </i>
    <i r="1" i="5">
      <x v="1"/>
    </i>
  </colItems>
  <dataFields count="6">
    <dataField name="Arrears" fld="13" baseField="0" baseItem="0"/>
    <dataField name="Arrears + Commitments (FY21/22)" fld="16" baseField="0" baseItem="0" numFmtId="172"/>
    <dataField name="FY1 (FY22-23) " fld="17" baseField="0" baseItem="0" numFmtId="172"/>
    <dataField name="FY2 (FY23-24) " fld="18" baseField="0" baseItem="0" numFmtId="172"/>
    <dataField name="FY3 (FY24-25) " fld="19" baseField="0" baseItem="0" numFmtId="172"/>
    <dataField name="FY4 (FY25-26) " fld="20" baseField="0" baseItem="0" numFmtId="172"/>
  </dataFields>
  <formats count="41">
    <format dxfId="179">
      <pivotArea dataOnly="0" labelOnly="1" outline="0" fieldPosition="0">
        <references count="1">
          <reference field="4294967294" count="2">
            <x v="0"/>
            <x v="1"/>
          </reference>
        </references>
      </pivotArea>
    </format>
    <format dxfId="178">
      <pivotArea outline="0" collapsedLevelsAreSubtotals="1" fieldPosition="0">
        <references count="1">
          <reference field="4294967294" count="5" selected="0">
            <x v="1"/>
            <x v="2"/>
            <x v="3"/>
            <x v="4"/>
            <x v="5"/>
          </reference>
        </references>
      </pivotArea>
    </format>
    <format dxfId="177">
      <pivotArea dataOnly="0" outline="0" fieldPosition="0">
        <references count="1">
          <reference field="4294967294" count="6">
            <x v="0"/>
            <x v="1"/>
            <x v="2"/>
            <x v="3"/>
            <x v="4"/>
            <x v="5"/>
          </reference>
        </references>
      </pivotArea>
    </format>
    <format dxfId="176">
      <pivotArea dataOnly="0" labelOnly="1" outline="0" fieldPosition="0">
        <references count="1">
          <reference field="4294967294" count="1">
            <x v="1"/>
          </reference>
        </references>
      </pivotArea>
    </format>
    <format dxfId="175">
      <pivotArea dataOnly="0" labelOnly="1" outline="0" fieldPosition="0">
        <references count="1">
          <reference field="4294967294" count="1">
            <x v="1"/>
          </reference>
        </references>
      </pivotArea>
    </format>
    <format dxfId="174">
      <pivotArea type="origin" dataOnly="0" labelOnly="1" outline="0" fieldPosition="0"/>
    </format>
    <format dxfId="173">
      <pivotArea field="-2" type="button" dataOnly="0" labelOnly="1" outline="0" axis="axisCol" fieldPosition="0"/>
    </format>
    <format dxfId="172">
      <pivotArea field="6" type="button" dataOnly="0" labelOnly="1" outline="0" axis="axisCol" fieldPosition="1"/>
    </format>
    <format dxfId="171">
      <pivotArea type="topRight" dataOnly="0" labelOnly="1" outline="0" fieldPosition="0"/>
    </format>
    <format dxfId="170">
      <pivotArea field="3" type="button" dataOnly="0" labelOnly="1" outline="0"/>
    </format>
    <format dxfId="169">
      <pivotArea dataOnly="0" labelOnly="1" outline="0" fieldPosition="0">
        <references count="1">
          <reference field="4294967294" count="6">
            <x v="0"/>
            <x v="1"/>
            <x v="2"/>
            <x v="3"/>
            <x v="4"/>
            <x v="5"/>
          </reference>
        </references>
      </pivotArea>
    </format>
    <format dxfId="168">
      <pivotArea field="6" dataOnly="0" labelOnly="1" grandCol="1" outline="0" axis="axisCol" fieldPosition="1">
        <references count="1">
          <reference field="4294967294" count="1" selected="0">
            <x v="0"/>
          </reference>
        </references>
      </pivotArea>
    </format>
    <format dxfId="167">
      <pivotArea field="6" dataOnly="0" labelOnly="1" grandCol="1" outline="0" axis="axisCol" fieldPosition="1">
        <references count="1">
          <reference field="4294967294" count="1" selected="0">
            <x v="1"/>
          </reference>
        </references>
      </pivotArea>
    </format>
    <format dxfId="166">
      <pivotArea field="6" dataOnly="0" labelOnly="1" grandCol="1" outline="0" axis="axisCol" fieldPosition="1">
        <references count="1">
          <reference field="4294967294" count="1" selected="0">
            <x v="2"/>
          </reference>
        </references>
      </pivotArea>
    </format>
    <format dxfId="165">
      <pivotArea field="6" dataOnly="0" labelOnly="1" grandCol="1" outline="0" axis="axisCol" fieldPosition="1">
        <references count="1">
          <reference field="4294967294" count="1" selected="0">
            <x v="3"/>
          </reference>
        </references>
      </pivotArea>
    </format>
    <format dxfId="164">
      <pivotArea field="6" dataOnly="0" labelOnly="1" grandCol="1" outline="0" axis="axisCol" fieldPosition="1">
        <references count="1">
          <reference field="4294967294" count="1" selected="0">
            <x v="4"/>
          </reference>
        </references>
      </pivotArea>
    </format>
    <format dxfId="163">
      <pivotArea field="6" dataOnly="0" labelOnly="1" grandCol="1" outline="0" axis="axisCol" fieldPosition="1">
        <references count="1">
          <reference field="4294967294" count="1" selected="0">
            <x v="5"/>
          </reference>
        </references>
      </pivotArea>
    </format>
    <format dxfId="162">
      <pivotArea dataOnly="0" labelOnly="1" outline="0" fieldPosition="0">
        <references count="1">
          <reference field="4294967294" count="1">
            <x v="0"/>
          </reference>
        </references>
      </pivotArea>
    </format>
    <format dxfId="161">
      <pivotArea dataOnly="0" labelOnly="1" fieldPosition="0">
        <references count="2">
          <reference field="4294967294" count="1" selected="0">
            <x v="0"/>
          </reference>
          <reference field="6" count="0"/>
        </references>
      </pivotArea>
    </format>
    <format dxfId="160">
      <pivotArea dataOnly="0" labelOnly="1" outline="0" fieldPosition="0">
        <references count="1">
          <reference field="4294967294" count="1">
            <x v="1"/>
          </reference>
        </references>
      </pivotArea>
    </format>
    <format dxfId="159">
      <pivotArea dataOnly="0" labelOnly="1" fieldPosition="0">
        <references count="2">
          <reference field="4294967294" count="1" selected="0">
            <x v="1"/>
          </reference>
          <reference field="6" count="0"/>
        </references>
      </pivotArea>
    </format>
    <format dxfId="158">
      <pivotArea dataOnly="0" labelOnly="1" outline="0" fieldPosition="0">
        <references count="1">
          <reference field="4294967294" count="1">
            <x v="2"/>
          </reference>
        </references>
      </pivotArea>
    </format>
    <format dxfId="157">
      <pivotArea dataOnly="0" labelOnly="1" fieldPosition="0">
        <references count="2">
          <reference field="4294967294" count="1" selected="0">
            <x v="2"/>
          </reference>
          <reference field="6" count="0"/>
        </references>
      </pivotArea>
    </format>
    <format dxfId="156">
      <pivotArea dataOnly="0" labelOnly="1" outline="0" fieldPosition="0">
        <references count="1">
          <reference field="4294967294" count="1">
            <x v="3"/>
          </reference>
        </references>
      </pivotArea>
    </format>
    <format dxfId="155">
      <pivotArea dataOnly="0" labelOnly="1" fieldPosition="0">
        <references count="2">
          <reference field="4294967294" count="1" selected="0">
            <x v="3"/>
          </reference>
          <reference field="6" count="0"/>
        </references>
      </pivotArea>
    </format>
    <format dxfId="154">
      <pivotArea dataOnly="0" labelOnly="1" outline="0" fieldPosition="0">
        <references count="1">
          <reference field="4294967294" count="1">
            <x v="5"/>
          </reference>
        </references>
      </pivotArea>
    </format>
    <format dxfId="153">
      <pivotArea dataOnly="0" labelOnly="1" fieldPosition="0">
        <references count="2">
          <reference field="4294967294" count="1" selected="0">
            <x v="5"/>
          </reference>
          <reference field="6" count="0"/>
        </references>
      </pivotArea>
    </format>
    <format dxfId="152">
      <pivotArea dataOnly="0" labelOnly="1" outline="0" fieldPosition="0">
        <references count="1">
          <reference field="4294967294" count="1">
            <x v="4"/>
          </reference>
        </references>
      </pivotArea>
    </format>
    <format dxfId="151">
      <pivotArea dataOnly="0" labelOnly="1" fieldPosition="0">
        <references count="2">
          <reference field="4294967294" count="1" selected="0">
            <x v="4"/>
          </reference>
          <reference field="6" count="0"/>
        </references>
      </pivotArea>
    </format>
    <format dxfId="150">
      <pivotArea dataOnly="0" labelOnly="1" outline="0" fieldPosition="0">
        <references count="1">
          <reference field="4294967294" count="1">
            <x v="1"/>
          </reference>
        </references>
      </pivotArea>
    </format>
    <format dxfId="149">
      <pivotArea dataOnly="0" labelOnly="1" fieldPosition="0">
        <references count="2">
          <reference field="4294967294" count="1" selected="0">
            <x v="1"/>
          </reference>
          <reference field="6" count="0"/>
        </references>
      </pivotArea>
    </format>
    <format dxfId="148">
      <pivotArea dataOnly="0" labelOnly="1" outline="0" fieldPosition="0">
        <references count="1">
          <reference field="4294967294" count="1">
            <x v="0"/>
          </reference>
        </references>
      </pivotArea>
    </format>
    <format dxfId="147">
      <pivotArea dataOnly="0" labelOnly="1" fieldPosition="0">
        <references count="2">
          <reference field="4294967294" count="1" selected="0">
            <x v="0"/>
          </reference>
          <reference field="6" count="0"/>
        </references>
      </pivotArea>
    </format>
    <format dxfId="146">
      <pivotArea field="3" type="button" dataOnly="0" labelOnly="1" outline="0"/>
    </format>
    <format dxfId="145">
      <pivotArea dataOnly="0" labelOnly="1" fieldPosition="0">
        <references count="2">
          <reference field="4294967294" count="1" selected="0">
            <x v="0"/>
          </reference>
          <reference field="6" count="0"/>
        </references>
      </pivotArea>
    </format>
    <format dxfId="144">
      <pivotArea dataOnly="0" labelOnly="1" fieldPosition="0">
        <references count="2">
          <reference field="4294967294" count="1" selected="0">
            <x v="1"/>
          </reference>
          <reference field="6" count="0"/>
        </references>
      </pivotArea>
    </format>
    <format dxfId="143">
      <pivotArea dataOnly="0" labelOnly="1" fieldPosition="0">
        <references count="2">
          <reference field="4294967294" count="1" selected="0">
            <x v="2"/>
          </reference>
          <reference field="6" count="0"/>
        </references>
      </pivotArea>
    </format>
    <format dxfId="142">
      <pivotArea dataOnly="0" labelOnly="1" fieldPosition="0">
        <references count="2">
          <reference field="4294967294" count="1" selected="0">
            <x v="3"/>
          </reference>
          <reference field="6" count="0"/>
        </references>
      </pivotArea>
    </format>
    <format dxfId="141">
      <pivotArea dataOnly="0" labelOnly="1" fieldPosition="0">
        <references count="2">
          <reference field="4294967294" count="1" selected="0">
            <x v="4"/>
          </reference>
          <reference field="6" count="0"/>
        </references>
      </pivotArea>
    </format>
    <format dxfId="140">
      <pivotArea dataOnly="0" labelOnly="1" fieldPosition="0">
        <references count="2">
          <reference field="4294967294" count="1" selected="0">
            <x v="5"/>
          </reference>
          <reference field="6" count="0"/>
        </references>
      </pivotArea>
    </format>
    <format dxfId="139">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6" cacheId="4"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A3:G56" firstHeaderRow="0" firstDataRow="1" firstDataCol="1"/>
  <pivotFields count="27">
    <pivotField showAll="0"/>
    <pivotField showAll="0"/>
    <pivotField showAll="0"/>
    <pivotField axis="axisRow" showAll="0">
      <items count="24">
        <item x="15"/>
        <item x="3"/>
        <item x="19"/>
        <item x="18"/>
        <item x="4"/>
        <item x="14"/>
        <item x="1"/>
        <item x="8"/>
        <item x="11"/>
        <item x="0"/>
        <item x="2"/>
        <item x="6"/>
        <item x="5"/>
        <item x="10"/>
        <item x="13"/>
        <item x="16"/>
        <item x="7"/>
        <item x="12"/>
        <item x="9"/>
        <item x="17"/>
        <item m="1" x="22"/>
        <item m="1" x="21"/>
        <item x="20"/>
        <item t="default"/>
      </items>
    </pivotField>
    <pivotField showAll="0"/>
    <pivotField showAll="0"/>
    <pivotField axis="axisRow" showAll="0">
      <items count="4">
        <item x="0"/>
        <item x="1"/>
        <item h="1" x="2"/>
        <item t="default"/>
      </items>
    </pivotField>
    <pivotField showAll="0"/>
    <pivotField showAll="0"/>
    <pivotField showAll="0"/>
    <pivotField showAll="0"/>
    <pivotField showAll="0"/>
    <pivotField showAll="0"/>
    <pivotField dataField="1" showAll="0"/>
    <pivotField showAll="0"/>
    <pivotField showAll="0"/>
    <pivotField dataField="1" showAll="0"/>
    <pivotField dataField="1" showAll="0"/>
    <pivotField dataField="1" showAll="0"/>
    <pivotField dataField="1" showAll="0"/>
    <pivotField dataField="1" showAll="0"/>
    <pivotField showAll="0"/>
    <pivotField numFmtId="167" showAll="0"/>
    <pivotField showAll="0"/>
    <pivotField showAll="0"/>
    <pivotField showAll="0"/>
    <pivotField showAll="0"/>
  </pivotFields>
  <rowFields count="2">
    <field x="3"/>
    <field x="6"/>
  </rowFields>
  <rowItems count="53">
    <i>
      <x/>
    </i>
    <i r="1">
      <x/>
    </i>
    <i r="1">
      <x v="1"/>
    </i>
    <i>
      <x v="1"/>
    </i>
    <i r="1">
      <x/>
    </i>
    <i r="1">
      <x v="1"/>
    </i>
    <i>
      <x v="2"/>
    </i>
    <i r="1">
      <x/>
    </i>
    <i>
      <x v="3"/>
    </i>
    <i r="1">
      <x/>
    </i>
    <i r="1">
      <x v="1"/>
    </i>
    <i>
      <x v="4"/>
    </i>
    <i r="1">
      <x/>
    </i>
    <i r="1">
      <x v="1"/>
    </i>
    <i>
      <x v="5"/>
    </i>
    <i r="1">
      <x/>
    </i>
    <i r="1">
      <x v="1"/>
    </i>
    <i>
      <x v="6"/>
    </i>
    <i r="1">
      <x/>
    </i>
    <i r="1">
      <x v="1"/>
    </i>
    <i>
      <x v="7"/>
    </i>
    <i r="1">
      <x/>
    </i>
    <i>
      <x v="8"/>
    </i>
    <i r="1">
      <x/>
    </i>
    <i r="1">
      <x v="1"/>
    </i>
    <i>
      <x v="9"/>
    </i>
    <i r="1">
      <x/>
    </i>
    <i r="1">
      <x v="1"/>
    </i>
    <i>
      <x v="10"/>
    </i>
    <i r="1">
      <x/>
    </i>
    <i>
      <x v="11"/>
    </i>
    <i r="1">
      <x/>
    </i>
    <i>
      <x v="12"/>
    </i>
    <i r="1">
      <x/>
    </i>
    <i r="1">
      <x v="1"/>
    </i>
    <i>
      <x v="13"/>
    </i>
    <i r="1">
      <x/>
    </i>
    <i r="1">
      <x v="1"/>
    </i>
    <i>
      <x v="14"/>
    </i>
    <i r="1">
      <x/>
    </i>
    <i>
      <x v="15"/>
    </i>
    <i r="1">
      <x/>
    </i>
    <i r="1">
      <x v="1"/>
    </i>
    <i>
      <x v="16"/>
    </i>
    <i r="1">
      <x/>
    </i>
    <i>
      <x v="17"/>
    </i>
    <i r="1">
      <x/>
    </i>
    <i>
      <x v="18"/>
    </i>
    <i r="1">
      <x/>
    </i>
    <i>
      <x v="19"/>
    </i>
    <i r="1">
      <x/>
    </i>
    <i>
      <x v="22"/>
    </i>
    <i r="1">
      <x/>
    </i>
  </rowItems>
  <colFields count="1">
    <field x="-2"/>
  </colFields>
  <colItems count="6">
    <i>
      <x/>
    </i>
    <i i="1">
      <x v="1"/>
    </i>
    <i i="2">
      <x v="2"/>
    </i>
    <i i="3">
      <x v="3"/>
    </i>
    <i i="4">
      <x v="4"/>
    </i>
    <i i="5">
      <x v="5"/>
    </i>
  </colItems>
  <dataFields count="6">
    <dataField name="Arrears" fld="13" baseField="0" baseItem="0"/>
    <dataField name="Arrears + Commitments (FY21/22)" fld="16" baseField="0" baseItem="0" numFmtId="172"/>
    <dataField name="FY1 (FY22-23) " fld="17" baseField="0" baseItem="0" numFmtId="172"/>
    <dataField name="FY2 (FY23-24) " fld="18" baseField="0" baseItem="0" numFmtId="172"/>
    <dataField name="FY3 (FY24-25) " fld="19" baseField="0" baseItem="0" numFmtId="172"/>
    <dataField name="FY4 (FY25-26) " fld="20" baseField="0" baseItem="0" numFmtId="172"/>
  </dataFields>
  <formats count="67">
    <format dxfId="138">
      <pivotArea dataOnly="0" labelOnly="1" outline="0" fieldPosition="0">
        <references count="1">
          <reference field="4294967294" count="2">
            <x v="0"/>
            <x v="1"/>
          </reference>
        </references>
      </pivotArea>
    </format>
    <format dxfId="137">
      <pivotArea outline="0" collapsedLevelsAreSubtotals="1" fieldPosition="0">
        <references count="1">
          <reference field="4294967294" count="5" selected="0">
            <x v="1"/>
            <x v="2"/>
            <x v="3"/>
            <x v="4"/>
            <x v="5"/>
          </reference>
        </references>
      </pivotArea>
    </format>
    <format dxfId="136">
      <pivotArea dataOnly="0" outline="0" fieldPosition="0">
        <references count="1">
          <reference field="4294967294" count="6">
            <x v="0"/>
            <x v="1"/>
            <x v="2"/>
            <x v="3"/>
            <x v="4"/>
            <x v="5"/>
          </reference>
        </references>
      </pivotArea>
    </format>
    <format dxfId="135">
      <pivotArea dataOnly="0" labelOnly="1" outline="0" fieldPosition="0">
        <references count="1">
          <reference field="4294967294" count="1">
            <x v="1"/>
          </reference>
        </references>
      </pivotArea>
    </format>
    <format dxfId="134">
      <pivotArea dataOnly="0" labelOnly="1" outline="0" fieldPosition="0">
        <references count="1">
          <reference field="4294967294" count="1">
            <x v="1"/>
          </reference>
        </references>
      </pivotArea>
    </format>
    <format dxfId="133">
      <pivotArea type="origin" dataOnly="0" labelOnly="1" outline="0" fieldPosition="0"/>
    </format>
    <format dxfId="132">
      <pivotArea field="-2" type="button" dataOnly="0" labelOnly="1" outline="0" axis="axisCol" fieldPosition="0"/>
    </format>
    <format dxfId="131">
      <pivotArea field="6" type="button" dataOnly="0" labelOnly="1" outline="0" axis="axisRow" fieldPosition="1"/>
    </format>
    <format dxfId="130">
      <pivotArea type="topRight" dataOnly="0" labelOnly="1" outline="0" fieldPosition="0"/>
    </format>
    <format dxfId="129">
      <pivotArea field="3" type="button" dataOnly="0" labelOnly="1" outline="0" axis="axisRow" fieldPosition="0"/>
    </format>
    <format dxfId="128">
      <pivotArea dataOnly="0" labelOnly="1" outline="0" fieldPosition="0">
        <references count="1">
          <reference field="4294967294" count="6">
            <x v="0"/>
            <x v="1"/>
            <x v="2"/>
            <x v="3"/>
            <x v="4"/>
            <x v="5"/>
          </reference>
        </references>
      </pivotArea>
    </format>
    <format dxfId="127">
      <pivotArea field="6" dataOnly="0" labelOnly="1" grandRow="1" outline="0" axis="axisRow" fieldPosition="1">
        <references count="1">
          <reference field="4294967294" count="1" selected="0">
            <x v="0"/>
          </reference>
        </references>
      </pivotArea>
    </format>
    <format dxfId="126">
      <pivotArea field="6" dataOnly="0" labelOnly="1" grandRow="1" outline="0" axis="axisRow" fieldPosition="1">
        <references count="1">
          <reference field="4294967294" count="1" selected="0">
            <x v="1"/>
          </reference>
        </references>
      </pivotArea>
    </format>
    <format dxfId="125">
      <pivotArea field="6" dataOnly="0" labelOnly="1" grandRow="1" outline="0" axis="axisRow" fieldPosition="1">
        <references count="1">
          <reference field="4294967294" count="1" selected="0">
            <x v="2"/>
          </reference>
        </references>
      </pivotArea>
    </format>
    <format dxfId="124">
      <pivotArea field="6" dataOnly="0" labelOnly="1" grandRow="1" outline="0" axis="axisRow" fieldPosition="1">
        <references count="1">
          <reference field="4294967294" count="1" selected="0">
            <x v="3"/>
          </reference>
        </references>
      </pivotArea>
    </format>
    <format dxfId="123">
      <pivotArea field="6" dataOnly="0" labelOnly="1" grandRow="1" outline="0" axis="axisRow" fieldPosition="1">
        <references count="1">
          <reference field="4294967294" count="1" selected="0">
            <x v="4"/>
          </reference>
        </references>
      </pivotArea>
    </format>
    <format dxfId="122">
      <pivotArea field="6" dataOnly="0" labelOnly="1" grandRow="1" outline="0" axis="axisRow" fieldPosition="1">
        <references count="1">
          <reference field="4294967294" count="1" selected="0">
            <x v="5"/>
          </reference>
        </references>
      </pivotArea>
    </format>
    <format dxfId="121">
      <pivotArea dataOnly="0" labelOnly="1" outline="0" fieldPosition="0">
        <references count="1">
          <reference field="4294967294" count="1">
            <x v="0"/>
          </reference>
        </references>
      </pivotArea>
    </format>
    <format dxfId="120">
      <pivotArea dataOnly="0" labelOnly="1" fieldPosition="0">
        <references count="2">
          <reference field="4294967294" count="1" selected="0">
            <x v="0"/>
          </reference>
          <reference field="6" count="0"/>
        </references>
      </pivotArea>
    </format>
    <format dxfId="119">
      <pivotArea dataOnly="0" labelOnly="1" outline="0" fieldPosition="0">
        <references count="1">
          <reference field="4294967294" count="1">
            <x v="1"/>
          </reference>
        </references>
      </pivotArea>
    </format>
    <format dxfId="118">
      <pivotArea dataOnly="0" labelOnly="1" fieldPosition="0">
        <references count="2">
          <reference field="4294967294" count="1" selected="0">
            <x v="1"/>
          </reference>
          <reference field="6" count="0"/>
        </references>
      </pivotArea>
    </format>
    <format dxfId="117">
      <pivotArea dataOnly="0" labelOnly="1" outline="0" fieldPosition="0">
        <references count="1">
          <reference field="4294967294" count="1">
            <x v="2"/>
          </reference>
        </references>
      </pivotArea>
    </format>
    <format dxfId="116">
      <pivotArea dataOnly="0" labelOnly="1" fieldPosition="0">
        <references count="2">
          <reference field="4294967294" count="1" selected="0">
            <x v="2"/>
          </reference>
          <reference field="6" count="0"/>
        </references>
      </pivotArea>
    </format>
    <format dxfId="115">
      <pivotArea dataOnly="0" labelOnly="1" outline="0" fieldPosition="0">
        <references count="1">
          <reference field="4294967294" count="1">
            <x v="3"/>
          </reference>
        </references>
      </pivotArea>
    </format>
    <format dxfId="114">
      <pivotArea dataOnly="0" labelOnly="1" fieldPosition="0">
        <references count="2">
          <reference field="4294967294" count="1" selected="0">
            <x v="3"/>
          </reference>
          <reference field="6" count="0"/>
        </references>
      </pivotArea>
    </format>
    <format dxfId="113">
      <pivotArea dataOnly="0" labelOnly="1" outline="0" fieldPosition="0">
        <references count="1">
          <reference field="4294967294" count="1">
            <x v="5"/>
          </reference>
        </references>
      </pivotArea>
    </format>
    <format dxfId="112">
      <pivotArea dataOnly="0" labelOnly="1" fieldPosition="0">
        <references count="2">
          <reference field="4294967294" count="1" selected="0">
            <x v="5"/>
          </reference>
          <reference field="6" count="0"/>
        </references>
      </pivotArea>
    </format>
    <format dxfId="111">
      <pivotArea dataOnly="0" labelOnly="1" outline="0" fieldPosition="0">
        <references count="1">
          <reference field="4294967294" count="1">
            <x v="4"/>
          </reference>
        </references>
      </pivotArea>
    </format>
    <format dxfId="110">
      <pivotArea dataOnly="0" labelOnly="1" fieldPosition="0">
        <references count="2">
          <reference field="4294967294" count="1" selected="0">
            <x v="4"/>
          </reference>
          <reference field="6" count="0"/>
        </references>
      </pivotArea>
    </format>
    <format dxfId="109">
      <pivotArea dataOnly="0" labelOnly="1" outline="0" fieldPosition="0">
        <references count="1">
          <reference field="4294967294" count="1">
            <x v="1"/>
          </reference>
        </references>
      </pivotArea>
    </format>
    <format dxfId="108">
      <pivotArea dataOnly="0" labelOnly="1" fieldPosition="0">
        <references count="2">
          <reference field="4294967294" count="1" selected="0">
            <x v="1"/>
          </reference>
          <reference field="6" count="0"/>
        </references>
      </pivotArea>
    </format>
    <format dxfId="107">
      <pivotArea dataOnly="0" labelOnly="1" outline="0" fieldPosition="0">
        <references count="1">
          <reference field="4294967294" count="1">
            <x v="0"/>
          </reference>
        </references>
      </pivotArea>
    </format>
    <format dxfId="106">
      <pivotArea dataOnly="0" labelOnly="1" fieldPosition="0">
        <references count="2">
          <reference field="4294967294" count="1" selected="0">
            <x v="0"/>
          </reference>
          <reference field="6" count="0"/>
        </references>
      </pivotArea>
    </format>
    <format dxfId="105">
      <pivotArea field="3" type="button" dataOnly="0" labelOnly="1" outline="0" axis="axisRow" fieldPosition="0"/>
    </format>
    <format dxfId="104">
      <pivotArea dataOnly="0" labelOnly="1" fieldPosition="0">
        <references count="2">
          <reference field="4294967294" count="1" selected="0">
            <x v="0"/>
          </reference>
          <reference field="6" count="0"/>
        </references>
      </pivotArea>
    </format>
    <format dxfId="103">
      <pivotArea dataOnly="0" labelOnly="1" fieldPosition="0">
        <references count="2">
          <reference field="4294967294" count="1" selected="0">
            <x v="1"/>
          </reference>
          <reference field="6" count="0"/>
        </references>
      </pivotArea>
    </format>
    <format dxfId="102">
      <pivotArea dataOnly="0" labelOnly="1" fieldPosition="0">
        <references count="2">
          <reference field="4294967294" count="1" selected="0">
            <x v="2"/>
          </reference>
          <reference field="6" count="0"/>
        </references>
      </pivotArea>
    </format>
    <format dxfId="101">
      <pivotArea dataOnly="0" labelOnly="1" fieldPosition="0">
        <references count="2">
          <reference field="4294967294" count="1" selected="0">
            <x v="3"/>
          </reference>
          <reference field="6" count="0"/>
        </references>
      </pivotArea>
    </format>
    <format dxfId="100">
      <pivotArea dataOnly="0" labelOnly="1" fieldPosition="0">
        <references count="2">
          <reference field="4294967294" count="1" selected="0">
            <x v="4"/>
          </reference>
          <reference field="6" count="0"/>
        </references>
      </pivotArea>
    </format>
    <format dxfId="99">
      <pivotArea dataOnly="0" labelOnly="1" fieldPosition="0">
        <references count="2">
          <reference field="4294967294" count="1" selected="0">
            <x v="5"/>
          </reference>
          <reference field="6" count="0"/>
        </references>
      </pivotArea>
    </format>
    <format dxfId="98">
      <pivotArea field="3" type="button" dataOnly="0" labelOnly="1" outline="0" axis="axisRow" fieldPosition="0"/>
    </format>
    <format dxfId="97">
      <pivotArea dataOnly="0" labelOnly="1" fieldPosition="0">
        <references count="1">
          <reference field="3" count="0"/>
        </references>
      </pivotArea>
    </format>
    <format dxfId="96">
      <pivotArea dataOnly="0" labelOnly="1" fieldPosition="0">
        <references count="2">
          <reference field="3" count="1" selected="0">
            <x v="0"/>
          </reference>
          <reference field="6" count="0"/>
        </references>
      </pivotArea>
    </format>
    <format dxfId="95">
      <pivotArea dataOnly="0" labelOnly="1" fieldPosition="0">
        <references count="2">
          <reference field="3" count="1" selected="0">
            <x v="1"/>
          </reference>
          <reference field="6" count="0"/>
        </references>
      </pivotArea>
    </format>
    <format dxfId="94">
      <pivotArea dataOnly="0" labelOnly="1" fieldPosition="0">
        <references count="2">
          <reference field="3" count="1" selected="0">
            <x v="2"/>
          </reference>
          <reference field="6" count="1">
            <x v="0"/>
          </reference>
        </references>
      </pivotArea>
    </format>
    <format dxfId="93">
      <pivotArea dataOnly="0" labelOnly="1" fieldPosition="0">
        <references count="2">
          <reference field="3" count="1" selected="0">
            <x v="3"/>
          </reference>
          <reference field="6" count="0"/>
        </references>
      </pivotArea>
    </format>
    <format dxfId="92">
      <pivotArea dataOnly="0" labelOnly="1" fieldPosition="0">
        <references count="2">
          <reference field="3" count="1" selected="0">
            <x v="4"/>
          </reference>
          <reference field="6" count="0"/>
        </references>
      </pivotArea>
    </format>
    <format dxfId="91">
      <pivotArea dataOnly="0" labelOnly="1" fieldPosition="0">
        <references count="2">
          <reference field="3" count="1" selected="0">
            <x v="5"/>
          </reference>
          <reference field="6" count="0"/>
        </references>
      </pivotArea>
    </format>
    <format dxfId="90">
      <pivotArea dataOnly="0" labelOnly="1" fieldPosition="0">
        <references count="2">
          <reference field="3" count="1" selected="0">
            <x v="6"/>
          </reference>
          <reference field="6" count="0"/>
        </references>
      </pivotArea>
    </format>
    <format dxfId="89">
      <pivotArea dataOnly="0" labelOnly="1" fieldPosition="0">
        <references count="2">
          <reference field="3" count="1" selected="0">
            <x v="7"/>
          </reference>
          <reference field="6" count="1">
            <x v="0"/>
          </reference>
        </references>
      </pivotArea>
    </format>
    <format dxfId="88">
      <pivotArea dataOnly="0" labelOnly="1" fieldPosition="0">
        <references count="2">
          <reference field="3" count="1" selected="0">
            <x v="8"/>
          </reference>
          <reference field="6" count="0"/>
        </references>
      </pivotArea>
    </format>
    <format dxfId="87">
      <pivotArea dataOnly="0" labelOnly="1" fieldPosition="0">
        <references count="2">
          <reference field="3" count="1" selected="0">
            <x v="9"/>
          </reference>
          <reference field="6" count="0"/>
        </references>
      </pivotArea>
    </format>
    <format dxfId="86">
      <pivotArea dataOnly="0" labelOnly="1" fieldPosition="0">
        <references count="2">
          <reference field="3" count="1" selected="0">
            <x v="10"/>
          </reference>
          <reference field="6" count="1">
            <x v="0"/>
          </reference>
        </references>
      </pivotArea>
    </format>
    <format dxfId="85">
      <pivotArea dataOnly="0" labelOnly="1" fieldPosition="0">
        <references count="2">
          <reference field="3" count="1" selected="0">
            <x v="11"/>
          </reference>
          <reference field="6" count="1">
            <x v="0"/>
          </reference>
        </references>
      </pivotArea>
    </format>
    <format dxfId="84">
      <pivotArea dataOnly="0" labelOnly="1" fieldPosition="0">
        <references count="2">
          <reference field="3" count="1" selected="0">
            <x v="12"/>
          </reference>
          <reference field="6" count="0"/>
        </references>
      </pivotArea>
    </format>
    <format dxfId="83">
      <pivotArea dataOnly="0" labelOnly="1" fieldPosition="0">
        <references count="2">
          <reference field="3" count="1" selected="0">
            <x v="13"/>
          </reference>
          <reference field="6" count="0"/>
        </references>
      </pivotArea>
    </format>
    <format dxfId="82">
      <pivotArea dataOnly="0" labelOnly="1" fieldPosition="0">
        <references count="2">
          <reference field="3" count="1" selected="0">
            <x v="14"/>
          </reference>
          <reference field="6" count="1">
            <x v="0"/>
          </reference>
        </references>
      </pivotArea>
    </format>
    <format dxfId="81">
      <pivotArea dataOnly="0" labelOnly="1" fieldPosition="0">
        <references count="2">
          <reference field="3" count="1" selected="0">
            <x v="15"/>
          </reference>
          <reference field="6" count="0"/>
        </references>
      </pivotArea>
    </format>
    <format dxfId="80">
      <pivotArea dataOnly="0" labelOnly="1" fieldPosition="0">
        <references count="2">
          <reference field="3" count="1" selected="0">
            <x v="16"/>
          </reference>
          <reference field="6" count="1">
            <x v="0"/>
          </reference>
        </references>
      </pivotArea>
    </format>
    <format dxfId="79">
      <pivotArea dataOnly="0" labelOnly="1" fieldPosition="0">
        <references count="2">
          <reference field="3" count="1" selected="0">
            <x v="17"/>
          </reference>
          <reference field="6" count="1">
            <x v="0"/>
          </reference>
        </references>
      </pivotArea>
    </format>
    <format dxfId="78">
      <pivotArea dataOnly="0" labelOnly="1" fieldPosition="0">
        <references count="2">
          <reference field="3" count="1" selected="0">
            <x v="18"/>
          </reference>
          <reference field="6" count="1">
            <x v="0"/>
          </reference>
        </references>
      </pivotArea>
    </format>
    <format dxfId="77">
      <pivotArea dataOnly="0" labelOnly="1" fieldPosition="0">
        <references count="2">
          <reference field="3" count="1" selected="0">
            <x v="19"/>
          </reference>
          <reference field="6" count="1">
            <x v="0"/>
          </reference>
        </references>
      </pivotArea>
    </format>
    <format dxfId="76">
      <pivotArea dataOnly="0" labelOnly="1" fieldPosition="0">
        <references count="2">
          <reference field="3" count="1" selected="0">
            <x v="20"/>
          </reference>
          <reference field="6" count="0"/>
        </references>
      </pivotArea>
    </format>
    <format dxfId="75">
      <pivotArea dataOnly="0" labelOnly="1" outline="0" fieldPosition="0">
        <references count="1">
          <reference field="4294967294" count="1">
            <x v="1"/>
          </reference>
        </references>
      </pivotArea>
    </format>
    <format dxfId="74">
      <pivotArea field="3" type="button" dataOnly="0" labelOnly="1" outline="0" axis="axisRow" fieldPosition="0"/>
    </format>
    <format dxfId="73">
      <pivotArea dataOnly="0" labelOnly="1" outline="0" fieldPosition="0">
        <references count="1">
          <reference field="4294967294" count="6">
            <x v="0"/>
            <x v="1"/>
            <x v="2"/>
            <x v="3"/>
            <x v="4"/>
            <x v="5"/>
          </reference>
        </references>
      </pivotArea>
    </format>
    <format dxfId="72">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3" autoFormatId="16" applyNumberFormats="0" applyBorderFormats="0" applyFontFormats="0" applyPatternFormats="0" applyAlignmentFormats="0" applyWidthHeightFormats="0">
  <queryTableRefresh nextId="31" unboundColumnsRight="2">
    <queryTableFields count="27">
      <queryTableField id="1" name="Source.Name" tableColumnId="1"/>
      <queryTableField id="29" dataBound="0" tableColumnId="29"/>
      <queryTableField id="30" dataBound="0" tableColumnId="30"/>
      <queryTableField id="2" name="Project Code and Name " tableColumnId="2"/>
      <queryTableField id="3" name="Funding Source" tableColumnId="3"/>
      <queryTableField id="4" name="Start Date _x000a_dd/mm/yyyy" tableColumnId="4"/>
      <queryTableField id="5" name="End Date _x000a_dd/mm/yyyy" tableColumnId="5"/>
      <queryTableField id="6" name="Project Status" tableColumnId="6"/>
      <queryTableField id="7" name="Project Classification" tableColumnId="7"/>
      <queryTableField id="8" name="Spending since start of project" tableColumnId="8"/>
      <queryTableField id="9" name="Approved Budget FY 2020/21" tableColumnId="9"/>
      <queryTableField id="10" name="Estimate of Arrears at end of the current FY 2020/21 (value)" tableColumnId="10"/>
      <queryTableField id="11" name="Counterpart Funding signed agreements only (value next FY)" tableColumnId="11"/>
      <queryTableField id="12" name="Cash Required for Commitments (value next FY)" tableColumnId="12"/>
      <queryTableField id="13" name="Arrears + All Contractual Commitments (value next FY)" tableColumnId="13"/>
      <queryTableField id="14" name="FY1 (FY22-23)" tableColumnId="14"/>
      <queryTableField id="15" name="FY2 (FY23-24)" tableColumnId="15"/>
      <queryTableField id="16" name="FY3 (FY24-25)" tableColumnId="16"/>
      <queryTableField id="17" name="FY4 (FY25-26)" tableColumnId="17"/>
      <queryTableField id="18" name="Outstanding Commitments" tableColumnId="18"/>
      <queryTableField id="19" name="(Calculated Value)" tableColumnId="19"/>
      <queryTableField id="20" name="Approved Project Costs by DC as indicated in the PIP" tableColumnId="20"/>
      <queryTableField id="21" name="Comments from MDA (Important information or assumptions when populating the template)" tableColumnId="21"/>
      <queryTableField id="22" name="PIM Process (Four Gates)" tableColumnId="22"/>
      <queryTableField id="23" name="Select for first call on resources? (Y/N)" tableColumnId="23"/>
      <queryTableField id="24" dataBound="0" tableColumnId="24"/>
      <queryTableField id="25" dataBound="0" tableColumnId="25"/>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MTEF2" displayName="MTEF2" ref="A1:J100" totalsRowCount="1" headerRowDxfId="434" dataDxfId="432" headerRowBorderDxfId="433" tableBorderDxfId="431" totalsRowBorderDxfId="430" headerRowCellStyle="Comma 2" dataCellStyle="Comma 2">
  <tableColumns count="10">
    <tableColumn id="1" name="Vote" dataDxfId="429" totalsRowDxfId="428" dataCellStyle="Normal 3"/>
    <tableColumn id="2" name="Vote Name" dataDxfId="427" totalsRowDxfId="426" dataCellStyle="Normal 3"/>
    <tableColumn id="3" name="Devt _x000a_21-22" totalsRowFunction="sum" dataDxfId="425" totalsRowDxfId="424" dataCellStyle="Comma 2"/>
    <tableColumn id="4" name="Ext. Fin_x000a_21-22" totalsRowFunction="sum" dataDxfId="423" totalsRowDxfId="422" dataCellStyle="Comma 2"/>
    <tableColumn id="5" name="Devt _x000a_22-23" totalsRowFunction="sum" dataDxfId="421" totalsRowDxfId="420" dataCellStyle="Comma 2"/>
    <tableColumn id="6" name="Ext. Fin_x000a_22-23" totalsRowFunction="sum" dataDxfId="419" totalsRowDxfId="418" dataCellStyle="Comma 2"/>
    <tableColumn id="7" name="Devt _x000a_23-24" dataDxfId="417" totalsRowDxfId="416" dataCellStyle="Comma 2"/>
    <tableColumn id="8" name="Ext. Fin_x000a_23-24" dataDxfId="415" totalsRowDxfId="414" dataCellStyle="Comma 2"/>
    <tableColumn id="9" name="Devt _x000a_24-25" dataDxfId="413" totalsRowDxfId="412" dataCellStyle="Comma 2"/>
    <tableColumn id="10" name="Ext. Fin_x000a_24-25" dataDxfId="411" totalsRowDxfId="410" dataCellStyle="Comma 2"/>
  </tableColumns>
  <tableStyleInfo name="TableStyleMedium2" showFirstColumn="0" showLastColumn="0" showRowStripes="1" showColumnStripes="0"/>
</table>
</file>

<file path=xl/tables/table2.xml><?xml version="1.0" encoding="utf-8"?>
<table xmlns="http://schemas.openxmlformats.org/spreadsheetml/2006/main" id="2" name="Aggregate" displayName="Aggregate" ref="A1:AA216" tableType="queryTable" totalsRowShown="0" dataDxfId="409">
  <autoFilter ref="A1:AA216"/>
  <sortState ref="A2:AA216">
    <sortCondition ref="A1:A216"/>
  </sortState>
  <tableColumns count="27">
    <tableColumn id="1" uniqueName="1" name="Source.Name" queryTableFieldId="1" dataDxfId="408"/>
    <tableColumn id="29" uniqueName="29" name="Vote Name &amp; Code" queryTableFieldId="29" dataDxfId="407"/>
    <tableColumn id="30" uniqueName="30" name="Sector" queryTableFieldId="30" dataDxfId="406"/>
    <tableColumn id="2" uniqueName="2" name="Project Code and Name " queryTableFieldId="2" dataDxfId="405"/>
    <tableColumn id="3" uniqueName="3" name="Funding Source" queryTableFieldId="3" dataDxfId="404"/>
    <tableColumn id="4" uniqueName="4" name="Start Date _x000a_dd/mm/yyyy" queryTableFieldId="4" dataDxfId="403"/>
    <tableColumn id="5" uniqueName="5" name="End Date _x000a_dd/mm/yyyy" queryTableFieldId="5" dataDxfId="402"/>
    <tableColumn id="6" uniqueName="6" name="Project Status" queryTableFieldId="6" dataDxfId="401"/>
    <tableColumn id="7" uniqueName="7" name="Project Classification" queryTableFieldId="7" dataDxfId="400"/>
    <tableColumn id="8" uniqueName="8" name="Spending since start of project" queryTableFieldId="8" dataDxfId="399" dataCellStyle="Comma"/>
    <tableColumn id="9" uniqueName="9" name="Approved Budget FY 2020/21" queryTableFieldId="9" dataDxfId="398" dataCellStyle="Comma"/>
    <tableColumn id="10" uniqueName="10" name="Estimate of Arrears at end of the current FY 2020/21 (value)" queryTableFieldId="10" dataDxfId="397" dataCellStyle="Comma"/>
    <tableColumn id="11" uniqueName="11" name="Counterpart Funding signed agreements only (value next FY)" queryTableFieldId="11" dataDxfId="396" dataCellStyle="Comma"/>
    <tableColumn id="12" uniqueName="12" name="Cash Required for Commitments (value next FY)" queryTableFieldId="12" dataDxfId="395" dataCellStyle="Comma"/>
    <tableColumn id="13" uniqueName="13" name="Arrears + All Contractual Commitments (value next FY)" queryTableFieldId="13" dataDxfId="394" dataCellStyle="Comma"/>
    <tableColumn id="14" uniqueName="14" name="FY1 (FY22-23)" queryTableFieldId="14" dataDxfId="393" dataCellStyle="Comma"/>
    <tableColumn id="15" uniqueName="15" name="FY2 (FY23-24)" queryTableFieldId="15" dataDxfId="392" dataCellStyle="Comma"/>
    <tableColumn id="16" uniqueName="16" name="FY3 (FY24-25)" queryTableFieldId="16" dataDxfId="391" dataCellStyle="Comma"/>
    <tableColumn id="17" uniqueName="17" name="FY4 (FY25-26)" queryTableFieldId="17" dataDxfId="390" dataCellStyle="Comma"/>
    <tableColumn id="18" uniqueName="18" name="Outstanding Commitments" queryTableFieldId="18" dataDxfId="389" dataCellStyle="Comma"/>
    <tableColumn id="19" uniqueName="19" name="(Calculated Value)" queryTableFieldId="19" dataDxfId="388" dataCellStyle="Comma"/>
    <tableColumn id="20" uniqueName="20" name="Approved Project Costs by DC as indicated in the PIP" queryTableFieldId="20" dataDxfId="387" dataCellStyle="Comma"/>
    <tableColumn id="21" uniqueName="21" name="Comments from MDA (Important information or assumptions when populating the template)" queryTableFieldId="21" dataDxfId="386"/>
    <tableColumn id="22" uniqueName="22" name="PIM Process (Four Gates)" queryTableFieldId="22" dataDxfId="385"/>
    <tableColumn id="23" uniqueName="23" name="Select for first call on resources? (Y/N)" queryTableFieldId="23" dataDxfId="384"/>
    <tableColumn id="24" uniqueName="24" name="Vote2" queryTableFieldId="24" dataDxfId="383"/>
    <tableColumn id="25" uniqueName="25" name="Vote Name2" queryTableFieldId="25" dataDxfId="382"/>
  </tableColumns>
  <tableStyleInfo name="TableStyleMedium7" showFirstColumn="0" showLastColumn="0" showRowStripes="1" showColumnStripes="0"/>
</table>
</file>

<file path=xl/tables/table3.xml><?xml version="1.0" encoding="utf-8"?>
<table xmlns="http://schemas.openxmlformats.org/spreadsheetml/2006/main" id="6" name="MTEFProgram" displayName="MTEFProgram" ref="A1:F20" totalsRowCount="1" headerRowDxfId="381" headerRowCellStyle="Comma [0] 3">
  <autoFilter ref="A1:F19"/>
  <tableColumns count="6">
    <tableColumn id="1" name="Code"/>
    <tableColumn id="2" name="Name"/>
    <tableColumn id="3" name="20-21" totalsRowFunction="sum" dataDxfId="380" totalsRowDxfId="379"/>
    <tableColumn id="4" name="21-22" totalsRowFunction="sum" dataDxfId="378" totalsRowDxfId="377"/>
    <tableColumn id="5" name="22-23" totalsRowFunction="sum" dataDxfId="376" totalsRowDxfId="375"/>
    <tableColumn id="6" name="23-24" totalsRowFunction="sum" dataDxfId="374" totalsRowDxfId="373"/>
  </tableColumns>
  <tableStyleInfo name="TableStyleMedium2" showFirstColumn="0" showLastColumn="0" showRowStripes="1" showColumnStripes="0"/>
</table>
</file>

<file path=xl/tables/table4.xml><?xml version="1.0" encoding="utf-8"?>
<table xmlns="http://schemas.openxmlformats.org/spreadsheetml/2006/main" id="5" name="MasterTable" displayName="MasterTable" ref="A1:AA217" totalsRowShown="0" headerRowDxfId="372">
  <autoFilter ref="A1:AA217"/>
  <tableColumns count="27">
    <tableColumn id="1" name="Source.Name"/>
    <tableColumn id="5" name="Project Code and Name "/>
    <tableColumn id="29" name="Check link  to Mother" dataDxfId="371">
      <calculatedColumnFormula>VLOOKUP(MasterTable[[#This Row],[Project Code and Name ]],PAProjects[LINKING_CODE],1,FALSE)</calculatedColumnFormula>
    </tableColumn>
    <tableColumn id="30" name="Vote" dataDxfId="370"/>
    <tableColumn id="2" name="Vote Name" dataDxfId="369">
      <calculatedColumnFormula>VLOOKUP(MasterTable[[#This Row],[Vote]],'MTEF 21-22'!A:B,2,FALSE)</calculatedColumnFormula>
    </tableColumn>
    <tableColumn id="3" name="Vote Code and Name " dataDxfId="368">
      <calculatedColumnFormula>CONCATENATE(MasterTable[[#This Row],[Vote]]," ",MasterTable[[#This Row],[Vote Name]])</calculatedColumnFormula>
    </tableColumn>
    <tableColumn id="6" name="Funding Source"/>
    <tableColumn id="7" name="Start Date _x000a_dd/mm/yyyy" dataDxfId="367"/>
    <tableColumn id="8" name="End Date _x000a_dd/mm/yyyy" dataDxfId="366"/>
    <tableColumn id="9" name="Project Status"/>
    <tableColumn id="10" name="Project Classification"/>
    <tableColumn id="11" name="Spending since start of project" dataDxfId="365" dataCellStyle="Comma"/>
    <tableColumn id="12" name="Approved Budget FY 2020/21" dataDxfId="364" dataCellStyle="Comma"/>
    <tableColumn id="13" name="Estimate of Arrears at end of the current FY 2020/21 (value)" dataDxfId="363" dataCellStyle="Comma"/>
    <tableColumn id="14" name="Counterpart Funding signed agreements only (value next FY)" dataDxfId="362" dataCellStyle="Comma"/>
    <tableColumn id="15" name="Cash Required for Commitments (value next FY)" dataDxfId="361" dataCellStyle="Comma"/>
    <tableColumn id="16" name="Arrears + All Contractual Commitments (value next FY)" dataDxfId="360" dataCellStyle="Comma"/>
    <tableColumn id="17" name="FY1 (FY22-23)" dataDxfId="359" dataCellStyle="Comma"/>
    <tableColumn id="18" name="FY2 (FY23-24)" dataDxfId="358" dataCellStyle="Comma"/>
    <tableColumn id="19" name="FY3 (FY24-25)" dataDxfId="357" dataCellStyle="Comma"/>
    <tableColumn id="20" name="FY4 (FY25-26)" dataDxfId="356" dataCellStyle="Comma"/>
    <tableColumn id="21" name="Outstanding Commitments" dataDxfId="355" dataCellStyle="Comma"/>
    <tableColumn id="22" name="(Calculated Value)" dataDxfId="354" dataCellStyle="Comma"/>
    <tableColumn id="23" name="Approved Project Costs by DC as indicated in the PIP" dataDxfId="353" dataCellStyle="Comma"/>
    <tableColumn id="24" name="Comments from MDA (Important information or assumptions when populating the template)"/>
    <tableColumn id="25" name="PIM Process (Four Gates)"/>
    <tableColumn id="26" name="Select for first call on resources? (Y/N)"/>
  </tableColumns>
  <tableStyleInfo name="TableStyleLight9" showFirstColumn="0" showLastColumn="0" showRowStripes="1" showColumnStripes="0"/>
</table>
</file>

<file path=xl/tables/table5.xml><?xml version="1.0" encoding="utf-8"?>
<table xmlns="http://schemas.openxmlformats.org/spreadsheetml/2006/main" id="3" name="PAProjects" displayName="PAProjects" ref="A3:AD373" totalsRowCount="1" headerRowDxfId="31" dataDxfId="303" totalsRowDxfId="30" headerRowBorderDxfId="304">
  <autoFilter ref="A3:AD372"/>
  <sortState ref="A4:AD333">
    <sortCondition ref="D3:D333"/>
  </sortState>
  <tableColumns count="30">
    <tableColumn id="1" name="Sn" dataDxfId="61" totalsRowDxfId="29"/>
    <tableColumn id="25" name="LINKING_CODE" dataDxfId="60" totalsRowDxfId="28"/>
    <tableColumn id="26" name="Adjusted Linking Codes" totalsRowFunction="custom" dataDxfId="59" totalsRowDxfId="27">
      <calculatedColumnFormula>PAProjects[[#This Row],[LINKING_CODE]]=_xlfn.CONCAT(PAProjects[[#This Row],[Project Code]]," ",PAProjects[[#This Row],[Project Name]])</calculatedColumnFormula>
      <totalsRowFormula>SUM(C4:C372)</totalsRowFormula>
    </tableColumn>
    <tableColumn id="27" name="Linked" totalsRowFunction="custom" dataDxfId="58" totalsRowDxfId="26">
      <calculatedColumnFormula>VLOOKUP(PAProjects[[#This Row],[LINKING_CODE]],MasterTable[[Project Code and Name ]],1,FALSE)</calculatedColumnFormula>
      <totalsRowFormula>SUM(D4:D372)</totalsRowFormula>
    </tableColumn>
    <tableColumn id="2" name="Sector Code" dataDxfId="57" totalsRowDxfId="25"/>
    <tableColumn id="3" name="Sector Name" dataDxfId="56" totalsRowDxfId="24"/>
    <tableColumn id="4" name="Vote Code" dataDxfId="55" totalsRowDxfId="23"/>
    <tableColumn id="30" name="Program Code" dataDxfId="54" totalsRowDxfId="22">
      <calculatedColumnFormula>VLOOKUP(I4,'Program Codes'!C:D,2,FALSE)</calculatedColumnFormula>
    </tableColumn>
    <tableColumn id="7" name="Program" dataDxfId="53" totalsRowDxfId="21"/>
    <tableColumn id="5" name="Project Code" dataDxfId="52" totalsRowDxfId="20"/>
    <tableColumn id="6" name="Project Name" dataDxfId="51" totalsRowDxfId="19"/>
    <tableColumn id="28" name="Status" dataDxfId="50" totalsRowDxfId="18">
      <calculatedColumnFormula>IF(ISERROR(SEARCH("Retooling",K4))=FALSE,"Retooling","")</calculatedColumnFormula>
    </tableColumn>
    <tableColumn id="8" name="START DATE " dataDxfId="49" totalsRowDxfId="17"/>
    <tableColumn id="9" name="END DATE" dataDxfId="48" totalsRowDxfId="16"/>
    <tableColumn id="10" name="G.O.U" totalsRowFunction="sum" dataDxfId="47" totalsRowDxfId="15" dataCellStyle="Comma"/>
    <tableColumn id="11" name="Donor" totalsRowFunction="sum" dataDxfId="46" totalsRowDxfId="14" dataCellStyle="Comma"/>
    <tableColumn id="12" name="Total" totalsRowFunction="sum" dataDxfId="45" totalsRowDxfId="13" dataCellStyle="Comma">
      <calculatedColumnFormula>SUM(O4:P4)</calculatedColumnFormula>
    </tableColumn>
    <tableColumn id="29" name="Arrears" totalsRowFunction="custom" dataDxfId="44" totalsRowDxfId="12" dataCellStyle="Comma">
      <totalsRowFormula>SUM(R4:R372)</totalsRowFormula>
    </tableColumn>
    <tableColumn id="13" name="GOU 21/22" totalsRowFunction="sum" dataDxfId="43" totalsRowDxfId="11"/>
    <tableColumn id="14" name="DONOR 21/22" totalsRowFunction="sum" dataDxfId="42" totalsRowDxfId="10"/>
    <tableColumn id="15" name="Total 21/22" totalsRowFunction="custom" dataDxfId="41" totalsRowDxfId="9">
      <calculatedColumnFormula>PAProjects[[#This Row],[GOU 21/22]]+PAProjects[[#This Row],[DONOR 21/22]]</calculatedColumnFormula>
      <totalsRowFormula>SUM(U4:U372)</totalsRowFormula>
    </tableColumn>
    <tableColumn id="16" name="GOU 22/23" totalsRowFunction="custom" dataDxfId="40" totalsRowDxfId="8">
      <totalsRowFormula>SUM(V4:V372)</totalsRowFormula>
    </tableColumn>
    <tableColumn id="17" name="DONOR 22/23" totalsRowFunction="custom" dataDxfId="39" totalsRowDxfId="7">
      <totalsRowFormula>SUM(W4:W372)</totalsRowFormula>
    </tableColumn>
    <tableColumn id="18" name="Total 22/23" totalsRowFunction="custom" dataDxfId="38" totalsRowDxfId="6">
      <calculatedColumnFormula>PAProjects[[#This Row],[GOU 22/23]]+PAProjects[[#This Row],[DONOR 22/23]]</calculatedColumnFormula>
      <totalsRowFormula>SUM(X4:X372)</totalsRowFormula>
    </tableColumn>
    <tableColumn id="19" name="GOU 23/24" totalsRowFunction="custom" dataDxfId="37" totalsRowDxfId="5">
      <totalsRowFormula>SUM(Y4:Y372)</totalsRowFormula>
    </tableColumn>
    <tableColumn id="20" name="DONOR 23/24" totalsRowFunction="custom" dataDxfId="36" totalsRowDxfId="4">
      <totalsRowFormula>SUM(Z4:Z372)</totalsRowFormula>
    </tableColumn>
    <tableColumn id="21" name="Total 23/24" totalsRowFunction="custom" dataDxfId="35" totalsRowDxfId="3">
      <calculatedColumnFormula>Y4+Z4</calculatedColumnFormula>
      <totalsRowFormula>SUM(AA4:AA372)</totalsRowFormula>
    </tableColumn>
    <tableColumn id="22" name="GOU 24/25" totalsRowFunction="custom" dataDxfId="34" totalsRowDxfId="2">
      <totalsRowFormula>SUM(AB4:AB372)</totalsRowFormula>
    </tableColumn>
    <tableColumn id="23" name="DONOR 24/25" totalsRowFunction="custom" dataDxfId="33" totalsRowDxfId="1">
      <totalsRowFormula>SUM(AC4:AC372)</totalsRowFormula>
    </tableColumn>
    <tableColumn id="24" name="Total 24/25" totalsRowFunction="custom" dataDxfId="32" totalsRowDxfId="0">
      <calculatedColumnFormula>PAProjects[[#This Row],[GOU 24/25]]+PAProjects[[#This Row],[DONOR 24/25]]</calculatedColumnFormula>
      <totalsRowFormula>SUM(AD4:AD372)</totalsRowFormula>
    </tableColumn>
  </tableColumns>
  <tableStyleInfo name="TableStyleLight1" showFirstColumn="0" showLastColumn="0" showRowStripes="1" showColumnStripes="0"/>
</table>
</file>

<file path=xl/tables/table6.xml><?xml version="1.0" encoding="utf-8"?>
<table xmlns="http://schemas.openxmlformats.org/spreadsheetml/2006/main" id="4" name="PAProjects5" displayName="PAProjects5" ref="A3:AD372" totalsRowShown="0" headerRowDxfId="302" dataDxfId="300" headerRowBorderDxfId="301">
  <autoFilter ref="A3:AD372">
    <filterColumn colId="11">
      <filters>
        <dateGroupItem year="2021" dateTimeGrouping="year"/>
      </filters>
    </filterColumn>
  </autoFilter>
  <sortState ref="A4:AC333">
    <sortCondition ref="D3:D333"/>
  </sortState>
  <tableColumns count="30">
    <tableColumn id="1" name="Sn" dataDxfId="299"/>
    <tableColumn id="25" name="LINKING_CODE" dataDxfId="298"/>
    <tableColumn id="26" name="Adjusted Linking Codes" dataDxfId="297">
      <calculatedColumnFormula>PAProjects5[[#This Row],[LINKING_CODE]]=_xlfn.CONCAT(PAProjects5[[#This Row],[Project Code]]," ",PAProjects5[[#This Row],[Project Name]])</calculatedColumnFormula>
    </tableColumn>
    <tableColumn id="27" name="Linked" dataDxfId="296">
      <calculatedColumnFormula>VLOOKUP(PAProjects5[[#This Row],[LINKING_CODE]],MasterTable[[Project Code and Name ]],1,FALSE)</calculatedColumnFormula>
    </tableColumn>
    <tableColumn id="2" name="Sector Code" dataDxfId="295"/>
    <tableColumn id="3" name="Sector Name" dataDxfId="294"/>
    <tableColumn id="4" name="Vote Code" dataDxfId="293"/>
    <tableColumn id="7" name="Program" dataDxfId="292"/>
    <tableColumn id="5" name="Project Code" dataDxfId="291"/>
    <tableColumn id="6" name="Project Name" dataDxfId="290"/>
    <tableColumn id="28" name="Status" dataDxfId="289">
      <calculatedColumnFormula>IF(ISERROR(SEARCH("Retooling",J4))=FALSE,"Retooling","")</calculatedColumnFormula>
    </tableColumn>
    <tableColumn id="8" name="START DATE " dataDxfId="288"/>
    <tableColumn id="9" name="END DATE" dataDxfId="287"/>
    <tableColumn id="10" name="G.O.U" dataDxfId="286"/>
    <tableColumn id="11" name="Donor" dataDxfId="285" dataCellStyle="Comma"/>
    <tableColumn id="12" name="Total" dataDxfId="284" dataCellStyle="Comma">
      <calculatedColumnFormula>SUM(N4:O4)</calculatedColumnFormula>
    </tableColumn>
    <tableColumn id="29" name="Arrears" dataDxfId="283" dataCellStyle="Comma">
      <calculatedColumnFormula>SUMIFS(MasterTable[Estimate of Arrears at end of the current FY 2020/21 (value)],MasterTable[[Project Code and Name ]],PAProjects5[[#This Row],[LINKING_CODE]],MasterTable[Funding Source],"GoU Funded")/10^9</calculatedColumnFormula>
    </tableColumn>
    <tableColumn id="13" name="GOU 21/22" dataDxfId="282"/>
    <tableColumn id="14" name="DONOR 21/22" dataDxfId="281"/>
    <tableColumn id="15" name="Total 21/22" dataDxfId="280">
      <calculatedColumnFormula>PAProjects[[#This Row],[GOU 21/22]]+PAProjects[[#This Row],[DONOR 21/22]]</calculatedColumnFormula>
    </tableColumn>
    <tableColumn id="16" name="GOU 22/23" dataDxfId="279"/>
    <tableColumn id="17" name="DONOR 22/23" dataDxfId="278"/>
    <tableColumn id="18" name="Total 22/23" dataDxfId="277">
      <calculatedColumnFormula>PAProjects[[#This Row],[GOU 22/23]]+PAProjects[[#This Row],[DONOR 22/23]]</calculatedColumnFormula>
    </tableColumn>
    <tableColumn id="19" name="GOU 23/24" dataDxfId="276"/>
    <tableColumn id="20" name="DONOR 23/24" dataDxfId="275"/>
    <tableColumn id="21" name="Total 23/24" dataDxfId="274">
      <calculatedColumnFormula>X4+Y4</calculatedColumnFormula>
    </tableColumn>
    <tableColumn id="22" name="GOU 24/25" dataDxfId="273"/>
    <tableColumn id="23" name="DONOR 24/25" dataDxfId="272"/>
    <tableColumn id="24" name="Total 24/25" dataDxfId="271">
      <calculatedColumnFormula>PAProjects[[#This Row],[GOU 24/25]]+PAProjects[[#This Row],[DONOR 24/25]]</calculatedColumnFormula>
    </tableColumn>
    <tableColumn id="30" name="Total 24/26" dataDxfId="27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3" dT="2021-03-11T12:59:23.20" personId="{431048B9-1FA7-44AC-99A4-654F6CC71253}" id="{7BE6CD5D-F532-4774-B5C9-5D8224387717}">
    <text>Fliterered out Retooling, New and No Information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5.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1"/>
  <sheetViews>
    <sheetView zoomScaleNormal="100" workbookViewId="0">
      <pane xSplit="2" ySplit="1" topLeftCell="C2" activePane="bottomRight" state="frozen"/>
      <selection activeCell="B98" sqref="B98"/>
      <selection pane="topRight" activeCell="B98" sqref="B98"/>
      <selection pane="bottomLeft" activeCell="B98" sqref="B98"/>
      <selection pane="bottomRight" activeCell="E100" sqref="E100:F100"/>
    </sheetView>
  </sheetViews>
  <sheetFormatPr defaultRowHeight="18.75" x14ac:dyDescent="0.3"/>
  <cols>
    <col min="1" max="1" width="11.5703125" style="99" bestFit="1" customWidth="1"/>
    <col min="2" max="2" width="55" style="99" customWidth="1"/>
    <col min="3" max="3" width="13" style="95" bestFit="1" customWidth="1"/>
    <col min="4" max="4" width="14.5703125" style="95" bestFit="1" customWidth="1"/>
    <col min="5" max="6" width="13" style="95" bestFit="1" customWidth="1"/>
    <col min="7" max="7" width="14.5703125" style="96" bestFit="1" customWidth="1"/>
  </cols>
  <sheetData>
    <row r="1" spans="1:7" s="15" customFormat="1" x14ac:dyDescent="0.3">
      <c r="A1" s="87" t="s">
        <v>31</v>
      </c>
      <c r="B1" s="87" t="s">
        <v>1512</v>
      </c>
      <c r="C1" s="88" t="s">
        <v>1513</v>
      </c>
      <c r="D1" s="88" t="s">
        <v>1514</v>
      </c>
      <c r="E1" s="88" t="s">
        <v>1619</v>
      </c>
      <c r="F1" s="88" t="s">
        <v>1515</v>
      </c>
      <c r="G1" s="88" t="s">
        <v>501</v>
      </c>
    </row>
    <row r="2" spans="1:7" x14ac:dyDescent="0.3">
      <c r="A2" s="89" t="s">
        <v>1179</v>
      </c>
      <c r="B2" s="89" t="s">
        <v>1516</v>
      </c>
      <c r="C2" s="90">
        <v>55.484705332100006</v>
      </c>
      <c r="D2" s="90">
        <v>99.40699684974669</v>
      </c>
      <c r="E2" s="90">
        <v>15.406903924165951</v>
      </c>
      <c r="F2" s="90">
        <v>0</v>
      </c>
      <c r="G2" s="91">
        <v>170.29860610601267</v>
      </c>
    </row>
    <row r="3" spans="1:7" x14ac:dyDescent="0.3">
      <c r="A3" s="89" t="s">
        <v>1220</v>
      </c>
      <c r="B3" s="89" t="s">
        <v>1517</v>
      </c>
      <c r="C3" s="90">
        <v>18.772679627999999</v>
      </c>
      <c r="D3" s="90">
        <v>379.02030548215583</v>
      </c>
      <c r="E3" s="90">
        <v>12.33841130240884</v>
      </c>
      <c r="F3" s="90">
        <v>0</v>
      </c>
      <c r="G3" s="91">
        <v>410.13139641256464</v>
      </c>
    </row>
    <row r="4" spans="1:7" x14ac:dyDescent="0.3">
      <c r="A4" s="89" t="s">
        <v>0</v>
      </c>
      <c r="B4" s="89" t="s">
        <v>1518</v>
      </c>
      <c r="C4" s="90">
        <v>3.9028864890000001</v>
      </c>
      <c r="D4" s="90">
        <v>93.7367716779587</v>
      </c>
      <c r="E4" s="90">
        <v>24.476921257488936</v>
      </c>
      <c r="F4" s="90">
        <v>275.20089432499998</v>
      </c>
      <c r="G4" s="91">
        <v>397.31747374944763</v>
      </c>
    </row>
    <row r="5" spans="1:7" x14ac:dyDescent="0.3">
      <c r="A5" s="89" t="s">
        <v>32</v>
      </c>
      <c r="B5" s="89" t="s">
        <v>1519</v>
      </c>
      <c r="C5" s="90">
        <v>591.82779268988008</v>
      </c>
      <c r="D5" s="90">
        <v>766.17690265947795</v>
      </c>
      <c r="E5" s="90">
        <v>2097.4428803709998</v>
      </c>
      <c r="F5" s="90">
        <v>382.72581517912499</v>
      </c>
      <c r="G5" s="91">
        <v>3838.1733908994829</v>
      </c>
    </row>
    <row r="6" spans="1:7" x14ac:dyDescent="0.3">
      <c r="A6" s="89" t="s">
        <v>33</v>
      </c>
      <c r="B6" s="89" t="s">
        <v>1520</v>
      </c>
      <c r="C6" s="90">
        <v>5.2314205550614021</v>
      </c>
      <c r="D6" s="90">
        <v>13.637832552880074</v>
      </c>
      <c r="E6" s="90">
        <v>4.9127589762227224</v>
      </c>
      <c r="F6" s="90">
        <v>0</v>
      </c>
      <c r="G6" s="91">
        <v>23.782012084164197</v>
      </c>
    </row>
    <row r="7" spans="1:7" x14ac:dyDescent="0.3">
      <c r="A7" s="89" t="s">
        <v>1222</v>
      </c>
      <c r="B7" s="89" t="s">
        <v>1521</v>
      </c>
      <c r="C7" s="90">
        <v>5.7183262312857135</v>
      </c>
      <c r="D7" s="90">
        <v>24.034568376090416</v>
      </c>
      <c r="E7" s="90">
        <v>0.71299059886144323</v>
      </c>
      <c r="F7" s="90">
        <v>0</v>
      </c>
      <c r="G7" s="91">
        <v>30.465885206237569</v>
      </c>
    </row>
    <row r="8" spans="1:7" x14ac:dyDescent="0.3">
      <c r="A8" s="89" t="s">
        <v>957</v>
      </c>
      <c r="B8" s="89" t="s">
        <v>1511</v>
      </c>
      <c r="C8" s="90">
        <v>8.8203551358800016</v>
      </c>
      <c r="D8" s="90">
        <v>47.947439353752245</v>
      </c>
      <c r="E8" s="90">
        <v>74.729144276891049</v>
      </c>
      <c r="F8" s="90">
        <v>0</v>
      </c>
      <c r="G8" s="91">
        <v>131.4969387665233</v>
      </c>
    </row>
    <row r="9" spans="1:7" x14ac:dyDescent="0.3">
      <c r="A9" s="92" t="s">
        <v>941</v>
      </c>
      <c r="B9" s="89" t="s">
        <v>1522</v>
      </c>
      <c r="C9" s="90">
        <v>6.7090000000000005</v>
      </c>
      <c r="D9" s="90">
        <v>659.16881797287101</v>
      </c>
      <c r="E9" s="90">
        <v>73.064000000000007</v>
      </c>
      <c r="F9" s="90">
        <v>104.28110644311502</v>
      </c>
      <c r="G9" s="91">
        <v>843.22292441598597</v>
      </c>
    </row>
    <row r="10" spans="1:7" x14ac:dyDescent="0.3">
      <c r="A10" s="89" t="s">
        <v>1184</v>
      </c>
      <c r="B10" s="89" t="s">
        <v>1523</v>
      </c>
      <c r="C10" s="90">
        <v>2.2994836539999999</v>
      </c>
      <c r="D10" s="90">
        <v>28.052766426283057</v>
      </c>
      <c r="E10" s="90">
        <v>7.42870171858877</v>
      </c>
      <c r="F10" s="90">
        <v>0</v>
      </c>
      <c r="G10" s="91">
        <v>37.780951798871826</v>
      </c>
    </row>
    <row r="11" spans="1:7" x14ac:dyDescent="0.3">
      <c r="A11" s="89" t="s">
        <v>891</v>
      </c>
      <c r="B11" s="89" t="s">
        <v>1524</v>
      </c>
      <c r="C11" s="90">
        <v>13.03294895688</v>
      </c>
      <c r="D11" s="90">
        <v>27.708884948751205</v>
      </c>
      <c r="E11" s="90">
        <v>84.761955560054787</v>
      </c>
      <c r="F11" s="90">
        <v>420.80075241838591</v>
      </c>
      <c r="G11" s="91">
        <v>546.30454188407191</v>
      </c>
    </row>
    <row r="12" spans="1:7" x14ac:dyDescent="0.3">
      <c r="A12" s="89" t="s">
        <v>932</v>
      </c>
      <c r="B12" s="89" t="s">
        <v>1525</v>
      </c>
      <c r="C12" s="90">
        <v>9.6146346808799983</v>
      </c>
      <c r="D12" s="90">
        <v>9.6195735134071434</v>
      </c>
      <c r="E12" s="90">
        <v>61.063461535208823</v>
      </c>
      <c r="F12" s="90">
        <v>196.02166558635003</v>
      </c>
      <c r="G12" s="91">
        <v>276.31933531584599</v>
      </c>
    </row>
    <row r="13" spans="1:7" x14ac:dyDescent="0.3">
      <c r="A13" s="89" t="s">
        <v>1106</v>
      </c>
      <c r="B13" s="89" t="s">
        <v>1526</v>
      </c>
      <c r="C13" s="90">
        <v>8.1028622806200001</v>
      </c>
      <c r="D13" s="90">
        <v>36.970715805984327</v>
      </c>
      <c r="E13" s="90">
        <v>8.9209644581077292</v>
      </c>
      <c r="F13" s="90">
        <v>478.1525955504585</v>
      </c>
      <c r="G13" s="91">
        <v>532.14713809517059</v>
      </c>
    </row>
    <row r="14" spans="1:7" x14ac:dyDescent="0.3">
      <c r="A14" s="89" t="s">
        <v>961</v>
      </c>
      <c r="B14" s="89" t="s">
        <v>1527</v>
      </c>
      <c r="C14" s="90">
        <v>17.811101871001977</v>
      </c>
      <c r="D14" s="90">
        <v>266.67757493700782</v>
      </c>
      <c r="E14" s="90">
        <v>71.376765663987968</v>
      </c>
      <c r="F14" s="90">
        <v>230.51612243198284</v>
      </c>
      <c r="G14" s="91">
        <v>586.38156490398057</v>
      </c>
    </row>
    <row r="15" spans="1:7" x14ac:dyDescent="0.3">
      <c r="A15" s="89" t="s">
        <v>97</v>
      </c>
      <c r="B15" s="89" t="s">
        <v>1510</v>
      </c>
      <c r="C15" s="90">
        <v>14.617456906331103</v>
      </c>
      <c r="D15" s="90">
        <v>78.556445838300419</v>
      </c>
      <c r="E15" s="90">
        <v>50.257824860285176</v>
      </c>
      <c r="F15" s="90">
        <v>912.77164236372698</v>
      </c>
      <c r="G15" s="91">
        <v>1056.2033699686438</v>
      </c>
    </row>
    <row r="16" spans="1:7" x14ac:dyDescent="0.3">
      <c r="A16" s="92" t="s">
        <v>98</v>
      </c>
      <c r="B16" s="89" t="s">
        <v>1528</v>
      </c>
      <c r="C16" s="90">
        <v>2.4582487159999999</v>
      </c>
      <c r="D16" s="90">
        <v>48.807064404517504</v>
      </c>
      <c r="E16" s="90">
        <v>4.7837630004469229</v>
      </c>
      <c r="F16" s="90">
        <v>7.8628826950000006</v>
      </c>
      <c r="G16" s="91">
        <v>63.911958815964432</v>
      </c>
    </row>
    <row r="17" spans="1:7" x14ac:dyDescent="0.3">
      <c r="A17" s="89" t="s">
        <v>99</v>
      </c>
      <c r="B17" s="89" t="s">
        <v>1529</v>
      </c>
      <c r="C17" s="90">
        <v>11.865803051959999</v>
      </c>
      <c r="D17" s="90">
        <v>102.95707530092974</v>
      </c>
      <c r="E17" s="90">
        <v>393.96742657641335</v>
      </c>
      <c r="F17" s="90">
        <v>245.49885494463751</v>
      </c>
      <c r="G17" s="91">
        <v>754.28915987394066</v>
      </c>
    </row>
    <row r="18" spans="1:7" x14ac:dyDescent="0.3">
      <c r="A18" s="89" t="s">
        <v>66</v>
      </c>
      <c r="B18" s="89" t="s">
        <v>1530</v>
      </c>
      <c r="C18" s="90">
        <v>6.2245706219999999</v>
      </c>
      <c r="D18" s="90">
        <v>49.847652759599995</v>
      </c>
      <c r="E18" s="90">
        <v>282.24881936899999</v>
      </c>
      <c r="F18" s="90">
        <v>833.292799217469</v>
      </c>
      <c r="G18" s="91">
        <v>1171.613841968069</v>
      </c>
    </row>
    <row r="19" spans="1:7" x14ac:dyDescent="0.3">
      <c r="A19" s="89" t="s">
        <v>67</v>
      </c>
      <c r="B19" s="89" t="s">
        <v>1531</v>
      </c>
      <c r="C19" s="90">
        <v>4.0527576561599998</v>
      </c>
      <c r="D19" s="90">
        <v>133.96817793354728</v>
      </c>
      <c r="E19" s="90">
        <v>8.4870836272003345</v>
      </c>
      <c r="F19" s="90">
        <v>0</v>
      </c>
      <c r="G19" s="91">
        <v>146.5080192169076</v>
      </c>
    </row>
    <row r="20" spans="1:7" x14ac:dyDescent="0.3">
      <c r="A20" s="89" t="s">
        <v>68</v>
      </c>
      <c r="B20" s="89" t="s">
        <v>1532</v>
      </c>
      <c r="C20" s="90">
        <v>12.999621532000001</v>
      </c>
      <c r="D20" s="90">
        <v>1.3016380970076695</v>
      </c>
      <c r="E20" s="90">
        <v>410.13578647182902</v>
      </c>
      <c r="F20" s="90">
        <v>933.91238000579915</v>
      </c>
      <c r="G20" s="91">
        <v>1358.3494261066357</v>
      </c>
    </row>
    <row r="21" spans="1:7" x14ac:dyDescent="0.3">
      <c r="A21" s="89" t="s">
        <v>69</v>
      </c>
      <c r="B21" s="89" t="s">
        <v>1533</v>
      </c>
      <c r="C21" s="90">
        <v>5.9369503453599997</v>
      </c>
      <c r="D21" s="90">
        <v>11.956553691775371</v>
      </c>
      <c r="E21" s="90">
        <v>20.222839682846068</v>
      </c>
      <c r="F21" s="90">
        <v>0</v>
      </c>
      <c r="G21" s="91">
        <v>38.116343719981444</v>
      </c>
    </row>
    <row r="22" spans="1:7" x14ac:dyDescent="0.3">
      <c r="A22" s="89" t="s">
        <v>70</v>
      </c>
      <c r="B22" s="89" t="s">
        <v>1534</v>
      </c>
      <c r="C22" s="90">
        <v>1.1353987489999999</v>
      </c>
      <c r="D22" s="90">
        <v>29.369078028696745</v>
      </c>
      <c r="E22" s="90">
        <v>0.9204</v>
      </c>
      <c r="F22" s="90">
        <v>0</v>
      </c>
      <c r="G22" s="91">
        <v>31.424876777696745</v>
      </c>
    </row>
    <row r="23" spans="1:7" x14ac:dyDescent="0.3">
      <c r="A23" s="89" t="s">
        <v>71</v>
      </c>
      <c r="B23" s="89" t="s">
        <v>1535</v>
      </c>
      <c r="C23" s="90">
        <v>2.0856037862000001</v>
      </c>
      <c r="D23" s="90">
        <v>140.80037731862822</v>
      </c>
      <c r="E23" s="90">
        <v>16.140968872299588</v>
      </c>
      <c r="F23" s="90">
        <v>0</v>
      </c>
      <c r="G23" s="91">
        <v>159.02694997712783</v>
      </c>
    </row>
    <row r="24" spans="1:7" x14ac:dyDescent="0.3">
      <c r="A24" s="89" t="s">
        <v>72</v>
      </c>
      <c r="B24" s="89" t="s">
        <v>1536</v>
      </c>
      <c r="C24" s="90">
        <v>2.5718914400000004</v>
      </c>
      <c r="D24" s="90">
        <v>25.034744471884295</v>
      </c>
      <c r="E24" s="90">
        <v>77.507838800000002</v>
      </c>
      <c r="F24" s="90">
        <v>142.3299711035425</v>
      </c>
      <c r="G24" s="91">
        <v>247.4444458154268</v>
      </c>
    </row>
    <row r="25" spans="1:7" x14ac:dyDescent="0.3">
      <c r="A25" s="89" t="s">
        <v>100</v>
      </c>
      <c r="B25" s="89" t="s">
        <v>1537</v>
      </c>
      <c r="C25" s="90">
        <v>0.68310878500000005</v>
      </c>
      <c r="D25" s="90">
        <v>0</v>
      </c>
      <c r="E25" s="90">
        <v>0</v>
      </c>
      <c r="F25" s="90">
        <v>0</v>
      </c>
      <c r="G25" s="91">
        <v>0.68310878500000005</v>
      </c>
    </row>
    <row r="26" spans="1:7" x14ac:dyDescent="0.3">
      <c r="A26" s="89" t="s">
        <v>101</v>
      </c>
      <c r="B26" s="89" t="s">
        <v>1538</v>
      </c>
      <c r="C26" s="90">
        <v>58.421605074279995</v>
      </c>
      <c r="D26" s="90">
        <v>115.62702898940091</v>
      </c>
      <c r="E26" s="90">
        <v>21.009499999999996</v>
      </c>
      <c r="F26" s="90">
        <v>0</v>
      </c>
      <c r="G26" s="91">
        <v>195.05813406368091</v>
      </c>
    </row>
    <row r="27" spans="1:7" x14ac:dyDescent="0.3">
      <c r="A27" s="89" t="s">
        <v>102</v>
      </c>
      <c r="B27" s="89" t="s">
        <v>1539</v>
      </c>
      <c r="C27" s="90">
        <v>37.666581718399996</v>
      </c>
      <c r="D27" s="90">
        <v>94.096227320703633</v>
      </c>
      <c r="E27" s="90">
        <v>6.2000000109072957</v>
      </c>
      <c r="F27" s="90">
        <v>0</v>
      </c>
      <c r="G27" s="91">
        <v>137.96280905001092</v>
      </c>
    </row>
    <row r="28" spans="1:7" x14ac:dyDescent="0.3">
      <c r="A28" s="89" t="s">
        <v>103</v>
      </c>
      <c r="B28" s="89" t="s">
        <v>1540</v>
      </c>
      <c r="C28" s="90">
        <v>21.169761279999999</v>
      </c>
      <c r="D28" s="90">
        <v>19.013178358258738</v>
      </c>
      <c r="E28" s="90">
        <v>13.29321265162196</v>
      </c>
      <c r="F28" s="90">
        <v>0</v>
      </c>
      <c r="G28" s="91">
        <v>53.476152289880702</v>
      </c>
    </row>
    <row r="29" spans="1:7" x14ac:dyDescent="0.3">
      <c r="A29" s="89" t="s">
        <v>104</v>
      </c>
      <c r="B29" s="89" t="s">
        <v>1541</v>
      </c>
      <c r="C29" s="90">
        <v>86.932848938960007</v>
      </c>
      <c r="D29" s="90">
        <v>515.15503681382449</v>
      </c>
      <c r="E29" s="90">
        <v>65.691000000000003</v>
      </c>
      <c r="F29" s="90">
        <v>0</v>
      </c>
      <c r="G29" s="91">
        <v>667.7788857527845</v>
      </c>
    </row>
    <row r="30" spans="1:7" x14ac:dyDescent="0.3">
      <c r="A30" s="89" t="s">
        <v>105</v>
      </c>
      <c r="B30" s="89" t="s">
        <v>1542</v>
      </c>
      <c r="C30" s="90">
        <v>4.0733965238799996</v>
      </c>
      <c r="D30" s="90">
        <v>6.1063541736413072</v>
      </c>
      <c r="E30" s="90">
        <v>0.20002040331477847</v>
      </c>
      <c r="F30" s="90">
        <v>0</v>
      </c>
      <c r="G30" s="91">
        <v>10.379771100836086</v>
      </c>
    </row>
    <row r="31" spans="1:7" x14ac:dyDescent="0.3">
      <c r="A31" s="89" t="s">
        <v>106</v>
      </c>
      <c r="B31" s="89" t="s">
        <v>1543</v>
      </c>
      <c r="C31" s="90">
        <v>6.5948487935599998</v>
      </c>
      <c r="D31" s="90">
        <v>12.25590083855208</v>
      </c>
      <c r="E31" s="90">
        <v>5.1797335842738629E-2</v>
      </c>
      <c r="F31" s="90">
        <v>0</v>
      </c>
      <c r="G31" s="91">
        <v>18.902546967954819</v>
      </c>
    </row>
    <row r="32" spans="1:7" x14ac:dyDescent="0.3">
      <c r="A32" s="89" t="s">
        <v>107</v>
      </c>
      <c r="B32" s="89" t="s">
        <v>1544</v>
      </c>
      <c r="C32" s="90">
        <v>1.3196797129600002</v>
      </c>
      <c r="D32" s="90">
        <v>7.9222460457640578</v>
      </c>
      <c r="E32" s="90">
        <v>1.8500000000000003</v>
      </c>
      <c r="F32" s="90">
        <v>0</v>
      </c>
      <c r="G32" s="91">
        <v>11.091925758724058</v>
      </c>
    </row>
    <row r="33" spans="1:7" x14ac:dyDescent="0.3">
      <c r="A33" s="89" t="s">
        <v>108</v>
      </c>
      <c r="B33" s="89" t="s">
        <v>1545</v>
      </c>
      <c r="C33" s="90">
        <v>8.9106499320000001</v>
      </c>
      <c r="D33" s="90">
        <v>20.242275054992124</v>
      </c>
      <c r="E33" s="90">
        <v>4.414167988</v>
      </c>
      <c r="F33" s="90">
        <v>0</v>
      </c>
      <c r="G33" s="91">
        <v>33.567092974992129</v>
      </c>
    </row>
    <row r="34" spans="1:7" x14ac:dyDescent="0.3">
      <c r="A34" s="89" t="s">
        <v>109</v>
      </c>
      <c r="B34" s="89" t="s">
        <v>1546</v>
      </c>
      <c r="C34" s="90">
        <v>8.4425120000000007</v>
      </c>
      <c r="D34" s="90">
        <v>15.24773587783719</v>
      </c>
      <c r="E34" s="90">
        <v>4.3933042370907236</v>
      </c>
      <c r="F34" s="90">
        <v>0</v>
      </c>
      <c r="G34" s="91">
        <v>28.083552114927915</v>
      </c>
    </row>
    <row r="35" spans="1:7" x14ac:dyDescent="0.3">
      <c r="A35" s="89" t="s">
        <v>110</v>
      </c>
      <c r="B35" s="89" t="s">
        <v>1547</v>
      </c>
      <c r="C35" s="90">
        <v>6.3264001879999991</v>
      </c>
      <c r="D35" s="90">
        <v>11.597961202237299</v>
      </c>
      <c r="E35" s="90">
        <v>5.4960000003213132</v>
      </c>
      <c r="F35" s="90">
        <v>0</v>
      </c>
      <c r="G35" s="91">
        <v>23.420361390558611</v>
      </c>
    </row>
    <row r="36" spans="1:7" x14ac:dyDescent="0.3">
      <c r="A36" s="89" t="s">
        <v>111</v>
      </c>
      <c r="B36" s="89" t="s">
        <v>1548</v>
      </c>
      <c r="C36" s="90">
        <v>30.116396695678489</v>
      </c>
      <c r="D36" s="90">
        <v>14.586387840612</v>
      </c>
      <c r="E36" s="90">
        <v>6.8427790419999992</v>
      </c>
      <c r="F36" s="90">
        <v>0</v>
      </c>
      <c r="G36" s="91">
        <v>51.545563578290484</v>
      </c>
    </row>
    <row r="37" spans="1:7" x14ac:dyDescent="0.3">
      <c r="A37" s="89" t="s">
        <v>112</v>
      </c>
      <c r="B37" s="89" t="s">
        <v>1549</v>
      </c>
      <c r="C37" s="90">
        <v>2.5835768402400001</v>
      </c>
      <c r="D37" s="90">
        <v>3.090529479223715</v>
      </c>
      <c r="E37" s="90">
        <v>0</v>
      </c>
      <c r="F37" s="90">
        <v>0</v>
      </c>
      <c r="G37" s="91">
        <v>5.6741063194637151</v>
      </c>
    </row>
    <row r="38" spans="1:7" x14ac:dyDescent="0.3">
      <c r="A38" s="89" t="s">
        <v>113</v>
      </c>
      <c r="B38" s="89" t="s">
        <v>1550</v>
      </c>
      <c r="C38" s="90">
        <v>71.105192983999999</v>
      </c>
      <c r="D38" s="90">
        <v>24.928247525092779</v>
      </c>
      <c r="E38" s="90">
        <v>1724.5518607149097</v>
      </c>
      <c r="F38" s="90">
        <v>2686.0364260680594</v>
      </c>
      <c r="G38" s="91">
        <v>4506.6217272920621</v>
      </c>
    </row>
    <row r="39" spans="1:7" x14ac:dyDescent="0.3">
      <c r="A39" s="89" t="s">
        <v>114</v>
      </c>
      <c r="B39" s="89" t="s">
        <v>1551</v>
      </c>
      <c r="C39" s="90">
        <v>6.2956707318999978</v>
      </c>
      <c r="D39" s="90">
        <v>14.763145760897121</v>
      </c>
      <c r="E39" s="90">
        <v>13.92926497179117</v>
      </c>
      <c r="F39" s="90">
        <v>2.6812429989950002</v>
      </c>
      <c r="G39" s="91">
        <v>37.669324463583294</v>
      </c>
    </row>
    <row r="40" spans="1:7" x14ac:dyDescent="0.3">
      <c r="A40" s="89" t="s">
        <v>115</v>
      </c>
      <c r="B40" s="89" t="s">
        <v>1552</v>
      </c>
      <c r="C40" s="90">
        <v>4.5991802239999995</v>
      </c>
      <c r="D40" s="90">
        <v>15.67467903691921</v>
      </c>
      <c r="E40" s="90">
        <v>4.6500000000000004</v>
      </c>
      <c r="F40" s="90">
        <v>0</v>
      </c>
      <c r="G40" s="91">
        <v>24.923859260919208</v>
      </c>
    </row>
    <row r="41" spans="1:7" x14ac:dyDescent="0.3">
      <c r="A41" s="89" t="s">
        <v>116</v>
      </c>
      <c r="B41" s="89" t="s">
        <v>1553</v>
      </c>
      <c r="C41" s="90">
        <v>15.273434467000001</v>
      </c>
      <c r="D41" s="90">
        <v>394.96195305419957</v>
      </c>
      <c r="E41" s="90">
        <v>10.078763608999999</v>
      </c>
      <c r="F41" s="90">
        <v>0</v>
      </c>
      <c r="G41" s="91">
        <v>420.3141511301996</v>
      </c>
    </row>
    <row r="42" spans="1:7" x14ac:dyDescent="0.3">
      <c r="A42" s="89" t="s">
        <v>117</v>
      </c>
      <c r="B42" s="89" t="s">
        <v>1554</v>
      </c>
      <c r="C42" s="90">
        <v>1.8553920001999029</v>
      </c>
      <c r="D42" s="90">
        <v>15.688055838951884</v>
      </c>
      <c r="E42" s="90">
        <v>0.15530251239003345</v>
      </c>
      <c r="F42" s="90">
        <v>0</v>
      </c>
      <c r="G42" s="91">
        <v>17.698750351541822</v>
      </c>
    </row>
    <row r="43" spans="1:7" x14ac:dyDescent="0.3">
      <c r="A43" s="89" t="s">
        <v>118</v>
      </c>
      <c r="B43" s="89" t="s">
        <v>1555</v>
      </c>
      <c r="C43" s="90">
        <v>2.6674129999999998</v>
      </c>
      <c r="D43" s="90">
        <v>490.86421983137814</v>
      </c>
      <c r="E43" s="90">
        <v>16.39</v>
      </c>
      <c r="F43" s="90">
        <v>0</v>
      </c>
      <c r="G43" s="91">
        <v>509.92163283137813</v>
      </c>
    </row>
    <row r="44" spans="1:7" x14ac:dyDescent="0.3">
      <c r="A44" s="89" t="s">
        <v>119</v>
      </c>
      <c r="B44" s="89" t="s">
        <v>1556</v>
      </c>
      <c r="C44" s="90">
        <v>8.9795233090000011</v>
      </c>
      <c r="D44" s="90">
        <v>12.07670856325559</v>
      </c>
      <c r="E44" s="90">
        <v>0.40500000000000003</v>
      </c>
      <c r="F44" s="90">
        <v>0</v>
      </c>
      <c r="G44" s="91">
        <v>21.461231872255592</v>
      </c>
    </row>
    <row r="45" spans="1:7" x14ac:dyDescent="0.3">
      <c r="A45" s="89" t="s">
        <v>120</v>
      </c>
      <c r="B45" s="89" t="s">
        <v>1557</v>
      </c>
      <c r="C45" s="90">
        <v>4.41748871244</v>
      </c>
      <c r="D45" s="90">
        <v>86.742040831352483</v>
      </c>
      <c r="E45" s="90">
        <v>9.2271569491515049</v>
      </c>
      <c r="F45" s="90">
        <v>0</v>
      </c>
      <c r="G45" s="91">
        <v>100.38668649294399</v>
      </c>
    </row>
    <row r="46" spans="1:7" x14ac:dyDescent="0.3">
      <c r="A46" s="89" t="s">
        <v>121</v>
      </c>
      <c r="B46" s="89" t="s">
        <v>1558</v>
      </c>
      <c r="C46" s="90">
        <v>1.5704</v>
      </c>
      <c r="D46" s="90">
        <v>3.4953600640672144</v>
      </c>
      <c r="E46" s="90">
        <v>3.6424349877848718</v>
      </c>
      <c r="F46" s="90">
        <v>0</v>
      </c>
      <c r="G46" s="91">
        <v>8.708195051852087</v>
      </c>
    </row>
    <row r="47" spans="1:7" x14ac:dyDescent="0.3">
      <c r="A47" s="89" t="s">
        <v>122</v>
      </c>
      <c r="B47" s="89" t="s">
        <v>1559</v>
      </c>
      <c r="C47" s="90">
        <v>122.7408737424918</v>
      </c>
      <c r="D47" s="90">
        <v>67.924315471647688</v>
      </c>
      <c r="E47" s="90">
        <v>80.635244585919537</v>
      </c>
      <c r="F47" s="90">
        <v>107.99669381582501</v>
      </c>
      <c r="G47" s="91">
        <v>379.29712761588405</v>
      </c>
    </row>
    <row r="48" spans="1:7" x14ac:dyDescent="0.3">
      <c r="A48" s="89" t="s">
        <v>123</v>
      </c>
      <c r="B48" s="89" t="s">
        <v>1560</v>
      </c>
      <c r="C48" s="90">
        <v>15.813207825999999</v>
      </c>
      <c r="D48" s="90">
        <v>16.880298395000004</v>
      </c>
      <c r="E48" s="90">
        <v>128.13934087499999</v>
      </c>
      <c r="F48" s="90">
        <v>436.15994575726813</v>
      </c>
      <c r="G48" s="91">
        <v>596.99279285326816</v>
      </c>
    </row>
    <row r="49" spans="1:7" x14ac:dyDescent="0.3">
      <c r="A49" s="89" t="s">
        <v>124</v>
      </c>
      <c r="B49" s="89" t="s">
        <v>1561</v>
      </c>
      <c r="C49" s="90">
        <v>2.9668079721600003</v>
      </c>
      <c r="D49" s="90">
        <v>8.7445208991372159</v>
      </c>
      <c r="E49" s="90">
        <v>0.36042557000000008</v>
      </c>
      <c r="F49" s="90">
        <v>0</v>
      </c>
      <c r="G49" s="91">
        <v>12.071754441297216</v>
      </c>
    </row>
    <row r="50" spans="1:7" x14ac:dyDescent="0.3">
      <c r="A50" s="89" t="s">
        <v>125</v>
      </c>
      <c r="B50" s="89" t="s">
        <v>1562</v>
      </c>
      <c r="C50" s="90">
        <v>4.6360230080000004</v>
      </c>
      <c r="D50" s="90">
        <v>6.3346040598756232</v>
      </c>
      <c r="E50" s="90">
        <v>61.344216572637251</v>
      </c>
      <c r="F50" s="90">
        <v>0</v>
      </c>
      <c r="G50" s="91">
        <v>72.314843640512876</v>
      </c>
    </row>
    <row r="51" spans="1:7" x14ac:dyDescent="0.3">
      <c r="A51" s="89" t="s">
        <v>126</v>
      </c>
      <c r="B51" s="89" t="s">
        <v>1563</v>
      </c>
      <c r="C51" s="90">
        <v>7.4391709441199998</v>
      </c>
      <c r="D51" s="90">
        <v>15.747104742909267</v>
      </c>
      <c r="E51" s="90">
        <v>7.4425855631024058</v>
      </c>
      <c r="F51" s="90">
        <v>33.024107319000002</v>
      </c>
      <c r="G51" s="91">
        <v>63.652968569131673</v>
      </c>
    </row>
    <row r="52" spans="1:7" x14ac:dyDescent="0.3">
      <c r="A52" s="89" t="s">
        <v>127</v>
      </c>
      <c r="B52" s="89" t="s">
        <v>1564</v>
      </c>
      <c r="C52" s="90">
        <v>14.599322061124301</v>
      </c>
      <c r="D52" s="90">
        <v>4.90718465146601</v>
      </c>
      <c r="E52" s="90">
        <v>4.2</v>
      </c>
      <c r="F52" s="90">
        <v>0</v>
      </c>
      <c r="G52" s="91">
        <v>23.706506712590311</v>
      </c>
    </row>
    <row r="53" spans="1:7" x14ac:dyDescent="0.3">
      <c r="A53" s="89" t="s">
        <v>128</v>
      </c>
      <c r="B53" s="89" t="s">
        <v>1565</v>
      </c>
      <c r="C53" s="90">
        <v>12.36</v>
      </c>
      <c r="D53" s="90">
        <v>97.685366443828286</v>
      </c>
      <c r="E53" s="90">
        <v>15.000000000000002</v>
      </c>
      <c r="F53" s="90">
        <v>0</v>
      </c>
      <c r="G53" s="91">
        <v>125.04536644382829</v>
      </c>
    </row>
    <row r="54" spans="1:7" x14ac:dyDescent="0.3">
      <c r="A54" s="89" t="s">
        <v>129</v>
      </c>
      <c r="B54" s="89" t="s">
        <v>1566</v>
      </c>
      <c r="C54" s="90">
        <v>3.7440000000000002</v>
      </c>
      <c r="D54" s="90">
        <v>9.6738315400093491</v>
      </c>
      <c r="E54" s="90">
        <v>0.215</v>
      </c>
      <c r="F54" s="90">
        <v>0</v>
      </c>
      <c r="G54" s="91">
        <v>13.632831540009349</v>
      </c>
    </row>
    <row r="55" spans="1:7" x14ac:dyDescent="0.3">
      <c r="A55" s="89" t="s">
        <v>130</v>
      </c>
      <c r="B55" s="89" t="s">
        <v>1567</v>
      </c>
      <c r="C55" s="90">
        <v>0</v>
      </c>
      <c r="D55" s="90">
        <v>5504.2506973677528</v>
      </c>
      <c r="E55" s="90">
        <v>0</v>
      </c>
      <c r="F55" s="90">
        <v>0</v>
      </c>
      <c r="G55" s="91">
        <v>5504.2506973677528</v>
      </c>
    </row>
    <row r="56" spans="1:7" x14ac:dyDescent="0.3">
      <c r="A56" s="89" t="s">
        <v>131</v>
      </c>
      <c r="B56" s="89" t="s">
        <v>1568</v>
      </c>
      <c r="C56" s="90">
        <v>28.856427488720001</v>
      </c>
      <c r="D56" s="90">
        <v>36.843125620086916</v>
      </c>
      <c r="E56" s="90">
        <v>3.0500000004147125</v>
      </c>
      <c r="F56" s="90">
        <v>0</v>
      </c>
      <c r="G56" s="91">
        <v>68.749553109221637</v>
      </c>
    </row>
    <row r="57" spans="1:7" x14ac:dyDescent="0.3">
      <c r="A57" s="89" t="s">
        <v>132</v>
      </c>
      <c r="B57" s="89" t="s">
        <v>1569</v>
      </c>
      <c r="C57" s="90">
        <v>2.8162994712800002</v>
      </c>
      <c r="D57" s="90">
        <v>6.352769523561447</v>
      </c>
      <c r="E57" s="90">
        <v>0.19153025050000008</v>
      </c>
      <c r="F57" s="90">
        <v>0</v>
      </c>
      <c r="G57" s="91">
        <v>9.3605992453414473</v>
      </c>
    </row>
    <row r="58" spans="1:7" x14ac:dyDescent="0.3">
      <c r="A58" s="89" t="s">
        <v>133</v>
      </c>
      <c r="B58" s="89" t="s">
        <v>1570</v>
      </c>
      <c r="C58" s="90">
        <v>16.611369237120002</v>
      </c>
      <c r="D58" s="90">
        <v>25.693638247463575</v>
      </c>
      <c r="E58" s="90">
        <v>5.8553511799968483</v>
      </c>
      <c r="F58" s="90">
        <v>0</v>
      </c>
      <c r="G58" s="91">
        <v>48.160358664580428</v>
      </c>
    </row>
    <row r="59" spans="1:7" x14ac:dyDescent="0.3">
      <c r="A59" s="89" t="s">
        <v>134</v>
      </c>
      <c r="B59" s="89" t="s">
        <v>1571</v>
      </c>
      <c r="C59" s="90">
        <v>2.4031108267199999</v>
      </c>
      <c r="D59" s="90">
        <v>4.5950920496607424</v>
      </c>
      <c r="E59" s="90">
        <v>7.9999999999999974E-2</v>
      </c>
      <c r="F59" s="90">
        <v>0</v>
      </c>
      <c r="G59" s="91">
        <v>7.0782028763807423</v>
      </c>
    </row>
    <row r="60" spans="1:7" x14ac:dyDescent="0.3">
      <c r="A60" s="89" t="s">
        <v>136</v>
      </c>
      <c r="B60" s="89" t="s">
        <v>1572</v>
      </c>
      <c r="C60" s="90">
        <v>206.60012514306464</v>
      </c>
      <c r="D60" s="90">
        <v>140.95222077590918</v>
      </c>
      <c r="E60" s="90">
        <v>15.516209712000002</v>
      </c>
      <c r="F60" s="90">
        <v>0</v>
      </c>
      <c r="G60" s="91">
        <v>363.06855563097383</v>
      </c>
    </row>
    <row r="61" spans="1:7" x14ac:dyDescent="0.3">
      <c r="A61" s="89" t="s">
        <v>137</v>
      </c>
      <c r="B61" s="89" t="s">
        <v>1573</v>
      </c>
      <c r="C61" s="90">
        <v>39.152110217515926</v>
      </c>
      <c r="D61" s="90">
        <v>14.64698466549841</v>
      </c>
      <c r="E61" s="90">
        <v>3.6857687139999999</v>
      </c>
      <c r="F61" s="90">
        <v>0</v>
      </c>
      <c r="G61" s="91">
        <v>57.484863597014332</v>
      </c>
    </row>
    <row r="62" spans="1:7" x14ac:dyDescent="0.3">
      <c r="A62" s="89" t="s">
        <v>138</v>
      </c>
      <c r="B62" s="89" t="s">
        <v>1574</v>
      </c>
      <c r="C62" s="90">
        <v>53.785093579721483</v>
      </c>
      <c r="D62" s="90">
        <v>38.755971674484002</v>
      </c>
      <c r="E62" s="90">
        <v>3.2204999999999995</v>
      </c>
      <c r="F62" s="90">
        <v>0</v>
      </c>
      <c r="G62" s="91">
        <v>95.761565254205479</v>
      </c>
    </row>
    <row r="63" spans="1:7" x14ac:dyDescent="0.3">
      <c r="A63" s="89" t="s">
        <v>139</v>
      </c>
      <c r="B63" s="89" t="s">
        <v>1575</v>
      </c>
      <c r="C63" s="90">
        <v>58.664433354403748</v>
      </c>
      <c r="D63" s="90">
        <v>75.164784094906153</v>
      </c>
      <c r="E63" s="90">
        <v>0.84284510599999951</v>
      </c>
      <c r="F63" s="90">
        <v>0</v>
      </c>
      <c r="G63" s="91">
        <v>134.67206255530991</v>
      </c>
    </row>
    <row r="64" spans="1:7" x14ac:dyDescent="0.3">
      <c r="A64" s="89" t="s">
        <v>140</v>
      </c>
      <c r="B64" s="89" t="s">
        <v>1576</v>
      </c>
      <c r="C64" s="90">
        <v>15.871026594826217</v>
      </c>
      <c r="D64" s="90">
        <v>18.072385529397149</v>
      </c>
      <c r="E64" s="90">
        <v>0</v>
      </c>
      <c r="F64" s="90">
        <v>0</v>
      </c>
      <c r="G64" s="91">
        <v>33.943412124223364</v>
      </c>
    </row>
    <row r="65" spans="1:7" x14ac:dyDescent="0.3">
      <c r="A65" s="89" t="s">
        <v>141</v>
      </c>
      <c r="B65" s="89" t="s">
        <v>1577</v>
      </c>
      <c r="C65" s="90">
        <v>163.26376080699998</v>
      </c>
      <c r="D65" s="90">
        <v>229.75666020373313</v>
      </c>
      <c r="E65" s="90">
        <v>43.639695827000004</v>
      </c>
      <c r="F65" s="90">
        <v>0</v>
      </c>
      <c r="G65" s="91">
        <v>436.66011683773314</v>
      </c>
    </row>
    <row r="66" spans="1:7" x14ac:dyDescent="0.3">
      <c r="A66" s="89" t="s">
        <v>142</v>
      </c>
      <c r="B66" s="89" t="s">
        <v>1578</v>
      </c>
      <c r="C66" s="90">
        <v>33.233229272999999</v>
      </c>
      <c r="D66" s="90">
        <v>20.587100711149041</v>
      </c>
      <c r="E66" s="90">
        <v>51.472993561999992</v>
      </c>
      <c r="F66" s="90">
        <v>0</v>
      </c>
      <c r="G66" s="91">
        <v>105.29332354614903</v>
      </c>
    </row>
    <row r="67" spans="1:7" x14ac:dyDescent="0.3">
      <c r="A67" s="89" t="s">
        <v>143</v>
      </c>
      <c r="B67" s="89" t="s">
        <v>1579</v>
      </c>
      <c r="C67" s="90">
        <v>14.99051388537173</v>
      </c>
      <c r="D67" s="90">
        <v>25.296578302406072</v>
      </c>
      <c r="E67" s="90">
        <v>20.409485946792842</v>
      </c>
      <c r="F67" s="90">
        <v>0</v>
      </c>
      <c r="G67" s="91">
        <v>60.696578134570643</v>
      </c>
    </row>
    <row r="68" spans="1:7" x14ac:dyDescent="0.3">
      <c r="A68" s="89" t="s">
        <v>144</v>
      </c>
      <c r="B68" s="89" t="s">
        <v>1580</v>
      </c>
      <c r="C68" s="90">
        <v>369.52581479765956</v>
      </c>
      <c r="D68" s="90">
        <v>263.26543912797052</v>
      </c>
      <c r="E68" s="90">
        <v>206.27297558600003</v>
      </c>
      <c r="F68" s="90">
        <v>39.314413475000002</v>
      </c>
      <c r="G68" s="91">
        <v>878.37864298663021</v>
      </c>
    </row>
    <row r="69" spans="1:7" x14ac:dyDescent="0.3">
      <c r="A69" s="89" t="s">
        <v>145</v>
      </c>
      <c r="B69" s="89" t="s">
        <v>1581</v>
      </c>
      <c r="C69" s="90">
        <v>80.646961103600006</v>
      </c>
      <c r="D69" s="90">
        <v>146.71757132104941</v>
      </c>
      <c r="E69" s="90">
        <v>37.276536287200003</v>
      </c>
      <c r="F69" s="90">
        <v>0</v>
      </c>
      <c r="G69" s="91">
        <v>264.64106871184941</v>
      </c>
    </row>
    <row r="70" spans="1:7" x14ac:dyDescent="0.3">
      <c r="A70" s="89" t="s">
        <v>146</v>
      </c>
      <c r="B70" s="89" t="s">
        <v>1582</v>
      </c>
      <c r="C70" s="90">
        <v>3.2737813670399998</v>
      </c>
      <c r="D70" s="90">
        <v>6.024706845569316</v>
      </c>
      <c r="E70" s="90">
        <v>0.18422214220097288</v>
      </c>
      <c r="F70" s="90">
        <v>0</v>
      </c>
      <c r="G70" s="91">
        <v>9.4827103548102887</v>
      </c>
    </row>
    <row r="71" spans="1:7" x14ac:dyDescent="0.3">
      <c r="A71" s="89" t="s">
        <v>147</v>
      </c>
      <c r="B71" s="89" t="s">
        <v>1583</v>
      </c>
      <c r="C71" s="90">
        <v>1.6188183999999999</v>
      </c>
      <c r="D71" s="90">
        <v>3.5386815473050084</v>
      </c>
      <c r="E71" s="90">
        <v>0.15669983999999998</v>
      </c>
      <c r="F71" s="90">
        <v>0</v>
      </c>
      <c r="G71" s="91">
        <v>5.3141997873050082</v>
      </c>
    </row>
    <row r="72" spans="1:7" x14ac:dyDescent="0.3">
      <c r="A72" s="89" t="s">
        <v>148</v>
      </c>
      <c r="B72" s="89" t="s">
        <v>1584</v>
      </c>
      <c r="C72" s="90">
        <v>2.67513855816</v>
      </c>
      <c r="D72" s="90">
        <v>7.7400145147298698</v>
      </c>
      <c r="E72" s="90">
        <v>0.24279662460175286</v>
      </c>
      <c r="F72" s="90">
        <v>0</v>
      </c>
      <c r="G72" s="91">
        <v>10.657949697491624</v>
      </c>
    </row>
    <row r="73" spans="1:7" x14ac:dyDescent="0.3">
      <c r="A73" s="89" t="s">
        <v>149</v>
      </c>
      <c r="B73" s="89" t="s">
        <v>1585</v>
      </c>
      <c r="C73" s="90">
        <v>35.987571777212835</v>
      </c>
      <c r="D73" s="90">
        <v>15.397806939539889</v>
      </c>
      <c r="E73" s="90">
        <v>1.3436661650000001</v>
      </c>
      <c r="F73" s="90">
        <v>0</v>
      </c>
      <c r="G73" s="91">
        <v>52.729044881752728</v>
      </c>
    </row>
    <row r="74" spans="1:7" x14ac:dyDescent="0.3">
      <c r="A74" s="89" t="s">
        <v>150</v>
      </c>
      <c r="B74" s="89" t="s">
        <v>1586</v>
      </c>
      <c r="C74" s="90">
        <v>6.7220865510200003</v>
      </c>
      <c r="D74" s="90">
        <v>10.167066830254413</v>
      </c>
      <c r="E74" s="90">
        <v>0.98999999435823527</v>
      </c>
      <c r="F74" s="90">
        <v>0</v>
      </c>
      <c r="G74" s="91">
        <v>17.879153375632647</v>
      </c>
    </row>
    <row r="75" spans="1:7" x14ac:dyDescent="0.3">
      <c r="A75" s="89" t="s">
        <v>151</v>
      </c>
      <c r="B75" s="89" t="s">
        <v>1587</v>
      </c>
      <c r="C75" s="90">
        <v>3.92286124004</v>
      </c>
      <c r="D75" s="90">
        <v>11.7520386932771</v>
      </c>
      <c r="E75" s="90">
        <v>1.87</v>
      </c>
      <c r="F75" s="90">
        <v>0</v>
      </c>
      <c r="G75" s="91">
        <v>17.544899933317101</v>
      </c>
    </row>
    <row r="76" spans="1:7" x14ac:dyDescent="0.3">
      <c r="A76" s="89" t="s">
        <v>152</v>
      </c>
      <c r="B76" s="89" t="s">
        <v>1588</v>
      </c>
      <c r="C76" s="90">
        <v>2.1849000000900003</v>
      </c>
      <c r="D76" s="90">
        <v>1.1564765727120379</v>
      </c>
      <c r="E76" s="90">
        <v>128.49989154275374</v>
      </c>
      <c r="F76" s="90">
        <v>0</v>
      </c>
      <c r="G76" s="91">
        <v>131.84126811555578</v>
      </c>
    </row>
    <row r="77" spans="1:7" x14ac:dyDescent="0.3">
      <c r="A77" s="89" t="s">
        <v>1589</v>
      </c>
      <c r="B77" s="89" t="s">
        <v>1590</v>
      </c>
      <c r="C77" s="90">
        <v>6.9685918000000004</v>
      </c>
      <c r="D77" s="90">
        <v>5.3201764877469273</v>
      </c>
      <c r="E77" s="90">
        <v>10.994</v>
      </c>
      <c r="F77" s="90">
        <v>0</v>
      </c>
      <c r="G77" s="91">
        <v>23.282768287746926</v>
      </c>
    </row>
    <row r="78" spans="1:7" x14ac:dyDescent="0.3">
      <c r="A78" s="89" t="s">
        <v>154</v>
      </c>
      <c r="B78" s="89" t="s">
        <v>1591</v>
      </c>
      <c r="C78" s="90">
        <v>21.355699000000001</v>
      </c>
      <c r="D78" s="90">
        <v>32.03630298129935</v>
      </c>
      <c r="E78" s="90">
        <v>11.652915228730482</v>
      </c>
      <c r="F78" s="90">
        <v>0</v>
      </c>
      <c r="G78" s="91">
        <v>65.044917210029837</v>
      </c>
    </row>
    <row r="79" spans="1:7" x14ac:dyDescent="0.3">
      <c r="A79" s="89" t="s">
        <v>155</v>
      </c>
      <c r="B79" s="89" t="s">
        <v>1592</v>
      </c>
      <c r="C79" s="90">
        <v>2.0132583959999999</v>
      </c>
      <c r="D79" s="90">
        <v>1.8177097029401104</v>
      </c>
      <c r="E79" s="90">
        <v>4.2110000000000003</v>
      </c>
      <c r="F79" s="90">
        <v>0</v>
      </c>
      <c r="G79" s="91">
        <v>8.0419680989401101</v>
      </c>
    </row>
    <row r="80" spans="1:7" x14ac:dyDescent="0.3">
      <c r="A80" s="89" t="s">
        <v>156</v>
      </c>
      <c r="B80" s="89" t="s">
        <v>1593</v>
      </c>
      <c r="C80" s="90">
        <v>0.61363789023999993</v>
      </c>
      <c r="D80" s="90">
        <v>0.57103626047651257</v>
      </c>
      <c r="E80" s="90">
        <v>39.315398183960163</v>
      </c>
      <c r="F80" s="90">
        <v>0</v>
      </c>
      <c r="G80" s="91">
        <v>40.500072334676673</v>
      </c>
    </row>
    <row r="81" spans="1:7" x14ac:dyDescent="0.3">
      <c r="A81" s="89" t="s">
        <v>157</v>
      </c>
      <c r="B81" s="89" t="s">
        <v>1594</v>
      </c>
      <c r="C81" s="90">
        <v>8.2655019999999997</v>
      </c>
      <c r="D81" s="90">
        <v>15.731437522508685</v>
      </c>
      <c r="E81" s="90">
        <v>12.882993000001152</v>
      </c>
      <c r="F81" s="90">
        <v>0</v>
      </c>
      <c r="G81" s="91">
        <v>36.879932522509833</v>
      </c>
    </row>
    <row r="82" spans="1:7" x14ac:dyDescent="0.3">
      <c r="A82" s="89" t="s">
        <v>159</v>
      </c>
      <c r="B82" s="89" t="s">
        <v>1595</v>
      </c>
      <c r="C82" s="90">
        <v>14.4402548</v>
      </c>
      <c r="D82" s="90">
        <v>28.804267845776501</v>
      </c>
      <c r="E82" s="90">
        <v>3.6392959999999999</v>
      </c>
      <c r="F82" s="90">
        <v>0</v>
      </c>
      <c r="G82" s="91">
        <v>46.8838186457765</v>
      </c>
    </row>
    <row r="83" spans="1:7" x14ac:dyDescent="0.3">
      <c r="A83" s="89" t="s">
        <v>160</v>
      </c>
      <c r="B83" s="89" t="s">
        <v>1596</v>
      </c>
      <c r="C83" s="90">
        <v>7.6715482850000001</v>
      </c>
      <c r="D83" s="90">
        <v>79.127445981361305</v>
      </c>
      <c r="E83" s="90">
        <v>3.0630553497999999</v>
      </c>
      <c r="F83" s="90">
        <v>0</v>
      </c>
      <c r="G83" s="91">
        <v>89.8620496161613</v>
      </c>
    </row>
    <row r="84" spans="1:7" x14ac:dyDescent="0.3">
      <c r="A84" s="89" t="s">
        <v>161</v>
      </c>
      <c r="B84" s="89" t="s">
        <v>1597</v>
      </c>
      <c r="C84" s="90">
        <v>29.205751193560008</v>
      </c>
      <c r="D84" s="90">
        <v>27.7067789076075</v>
      </c>
      <c r="E84" s="90">
        <v>4.0199999999999996</v>
      </c>
      <c r="F84" s="90">
        <v>0</v>
      </c>
      <c r="G84" s="91">
        <v>60.932530101167501</v>
      </c>
    </row>
    <row r="85" spans="1:7" x14ac:dyDescent="0.3">
      <c r="A85" s="89" t="s">
        <v>162</v>
      </c>
      <c r="B85" s="89" t="s">
        <v>1598</v>
      </c>
      <c r="C85" s="90">
        <v>5.6999264081520007</v>
      </c>
      <c r="D85" s="90">
        <v>7.5049381844096628</v>
      </c>
      <c r="E85" s="90">
        <v>3.8081405789999998</v>
      </c>
      <c r="F85" s="90">
        <v>0</v>
      </c>
      <c r="G85" s="91">
        <v>17.013005171561662</v>
      </c>
    </row>
    <row r="86" spans="1:7" x14ac:dyDescent="0.3">
      <c r="A86" s="89" t="s">
        <v>301</v>
      </c>
      <c r="B86" s="89" t="s">
        <v>1599</v>
      </c>
      <c r="C86" s="90">
        <v>15.246207690894611</v>
      </c>
      <c r="D86" s="90">
        <v>7.2619596850574197</v>
      </c>
      <c r="E86" s="90">
        <v>5.3</v>
      </c>
      <c r="F86" s="90">
        <v>0</v>
      </c>
      <c r="G86" s="91">
        <v>27.808167375952031</v>
      </c>
    </row>
    <row r="87" spans="1:7" x14ac:dyDescent="0.3">
      <c r="A87" s="89" t="s">
        <v>302</v>
      </c>
      <c r="B87" s="89" t="s">
        <v>1600</v>
      </c>
      <c r="C87" s="90">
        <v>7.4130000000000011</v>
      </c>
      <c r="D87" s="90">
        <v>4.1394244617192788</v>
      </c>
      <c r="E87" s="90">
        <v>14.202320974146271</v>
      </c>
      <c r="F87" s="90">
        <v>0</v>
      </c>
      <c r="G87" s="91">
        <v>25.754745435865551</v>
      </c>
    </row>
    <row r="88" spans="1:7" x14ac:dyDescent="0.3">
      <c r="A88" s="89" t="s">
        <v>303</v>
      </c>
      <c r="B88" s="89" t="s">
        <v>1601</v>
      </c>
      <c r="C88" s="90">
        <v>3.6051636359999999</v>
      </c>
      <c r="D88" s="90">
        <v>32.65737015706241</v>
      </c>
      <c r="E88" s="90">
        <v>3.9</v>
      </c>
      <c r="F88" s="90">
        <v>0</v>
      </c>
      <c r="G88" s="91">
        <v>40.162533793062408</v>
      </c>
    </row>
    <row r="89" spans="1:7" x14ac:dyDescent="0.3">
      <c r="A89" s="89" t="s">
        <v>304</v>
      </c>
      <c r="B89" s="89" t="s">
        <v>1602</v>
      </c>
      <c r="C89" s="90">
        <v>1.541135116</v>
      </c>
      <c r="D89" s="90">
        <v>5.1503050927005622</v>
      </c>
      <c r="E89" s="90">
        <v>2.2799999999999998</v>
      </c>
      <c r="F89" s="90">
        <v>0</v>
      </c>
      <c r="G89" s="91">
        <v>8.971440208700562</v>
      </c>
    </row>
    <row r="90" spans="1:7" x14ac:dyDescent="0.3">
      <c r="A90" s="89" t="s">
        <v>305</v>
      </c>
      <c r="B90" s="89" t="s">
        <v>1603</v>
      </c>
      <c r="C90" s="90">
        <v>1.3338737679999999</v>
      </c>
      <c r="D90" s="90">
        <v>8.8051690801168476</v>
      </c>
      <c r="E90" s="90">
        <v>15.944357</v>
      </c>
      <c r="F90" s="90">
        <v>0</v>
      </c>
      <c r="G90" s="91">
        <v>26.083399848116848</v>
      </c>
    </row>
    <row r="91" spans="1:7" x14ac:dyDescent="0.3">
      <c r="A91" s="89" t="s">
        <v>306</v>
      </c>
      <c r="B91" s="89" t="s">
        <v>1604</v>
      </c>
      <c r="C91" s="90">
        <v>1.2612000000000001</v>
      </c>
      <c r="D91" s="90">
        <v>2.43093271637124</v>
      </c>
      <c r="E91" s="90">
        <v>5.6280719999999972E-2</v>
      </c>
      <c r="F91" s="90">
        <v>0</v>
      </c>
      <c r="G91" s="91">
        <v>3.7484134363712402</v>
      </c>
    </row>
    <row r="92" spans="1:7" x14ac:dyDescent="0.3">
      <c r="A92" s="89" t="s">
        <v>307</v>
      </c>
      <c r="B92" s="89" t="s">
        <v>1605</v>
      </c>
      <c r="C92" s="90">
        <v>29.358359875051587</v>
      </c>
      <c r="D92" s="90">
        <v>8.977598934824421</v>
      </c>
      <c r="E92" s="90">
        <v>0.55224000000000006</v>
      </c>
      <c r="F92" s="90">
        <v>0</v>
      </c>
      <c r="G92" s="91">
        <v>38.888198809876002</v>
      </c>
    </row>
    <row r="93" spans="1:7" x14ac:dyDescent="0.3">
      <c r="A93" s="89" t="s">
        <v>308</v>
      </c>
      <c r="B93" s="89" t="s">
        <v>1606</v>
      </c>
      <c r="C93" s="90">
        <v>9.6016066253588175</v>
      </c>
      <c r="D93" s="90">
        <v>4.5137324634978251</v>
      </c>
      <c r="E93" s="90">
        <v>1.9000000000000004</v>
      </c>
      <c r="F93" s="90">
        <v>0</v>
      </c>
      <c r="G93" s="91">
        <v>16.015339088856642</v>
      </c>
    </row>
    <row r="94" spans="1:7" x14ac:dyDescent="0.3">
      <c r="A94" s="89" t="s">
        <v>309</v>
      </c>
      <c r="B94" s="89" t="s">
        <v>1607</v>
      </c>
      <c r="C94" s="90">
        <v>18.834800000000001</v>
      </c>
      <c r="D94" s="90">
        <v>36.341155480017825</v>
      </c>
      <c r="E94" s="90">
        <v>6.1665627790000013</v>
      </c>
      <c r="F94" s="90">
        <v>0</v>
      </c>
      <c r="G94" s="91">
        <v>61.34251825901783</v>
      </c>
    </row>
    <row r="95" spans="1:7" x14ac:dyDescent="0.3">
      <c r="A95" s="89" t="s">
        <v>310</v>
      </c>
      <c r="B95" s="89" t="s">
        <v>1608</v>
      </c>
      <c r="C95" s="90">
        <v>4.2033988009999996</v>
      </c>
      <c r="D95" s="90">
        <v>7.529149185580037</v>
      </c>
      <c r="E95" s="90">
        <v>3.905859</v>
      </c>
      <c r="F95" s="90">
        <v>106.29340571497315</v>
      </c>
      <c r="G95" s="91">
        <v>121.93181270155318</v>
      </c>
    </row>
    <row r="96" spans="1:7" x14ac:dyDescent="0.3">
      <c r="A96" s="89" t="s">
        <v>312</v>
      </c>
      <c r="B96" s="89" t="s">
        <v>1609</v>
      </c>
      <c r="C96" s="90">
        <v>23.829196672000002</v>
      </c>
      <c r="D96" s="90">
        <v>18.264456210028612</v>
      </c>
      <c r="E96" s="90">
        <v>10.927</v>
      </c>
      <c r="F96" s="90">
        <v>0</v>
      </c>
      <c r="G96" s="91">
        <v>53.020652882028614</v>
      </c>
    </row>
    <row r="97" spans="1:7" x14ac:dyDescent="0.3">
      <c r="A97" s="100" t="s">
        <v>1610</v>
      </c>
      <c r="B97" s="100" t="s">
        <v>1611</v>
      </c>
      <c r="C97" s="101">
        <v>97.797823646100014</v>
      </c>
      <c r="D97" s="101">
        <v>100.38612894852216</v>
      </c>
      <c r="E97" s="101">
        <v>26.567562166599998</v>
      </c>
      <c r="F97" s="101">
        <v>0</v>
      </c>
      <c r="G97" s="102">
        <v>224.75151476122215</v>
      </c>
    </row>
    <row r="98" spans="1:7" x14ac:dyDescent="0.3">
      <c r="A98" s="100" t="s">
        <v>1612</v>
      </c>
      <c r="B98" s="100" t="s">
        <v>1613</v>
      </c>
      <c r="C98" s="101">
        <v>26.056516281000011</v>
      </c>
      <c r="D98" s="101">
        <v>147.15279465857554</v>
      </c>
      <c r="E98" s="101">
        <v>17.873849789000001</v>
      </c>
      <c r="F98" s="101">
        <v>0</v>
      </c>
      <c r="G98" s="102">
        <v>191.08316072857554</v>
      </c>
    </row>
    <row r="99" spans="1:7" x14ac:dyDescent="0.3">
      <c r="A99" s="89" t="s">
        <v>1614</v>
      </c>
      <c r="B99" s="89" t="s">
        <v>1615</v>
      </c>
      <c r="C99" s="90">
        <v>2236.1757315032128</v>
      </c>
      <c r="D99" s="90">
        <v>953.72331416623047</v>
      </c>
      <c r="E99" s="90">
        <v>545.01591021093611</v>
      </c>
      <c r="F99" s="90">
        <v>0</v>
      </c>
      <c r="G99" s="91">
        <v>3734.9149558803792</v>
      </c>
    </row>
    <row r="100" spans="1:7" s="15" customFormat="1" x14ac:dyDescent="0.3">
      <c r="A100" s="93"/>
      <c r="B100" s="93" t="s">
        <v>1616</v>
      </c>
      <c r="C100" s="91">
        <v>5100.8785848361294</v>
      </c>
      <c r="D100" s="91">
        <v>13339.471853379142</v>
      </c>
      <c r="E100" s="91">
        <v>7284.096898946088</v>
      </c>
      <c r="F100" s="91">
        <v>8574.8737174137132</v>
      </c>
      <c r="G100" s="91">
        <v>34299.321054575077</v>
      </c>
    </row>
    <row r="101" spans="1:7" x14ac:dyDescent="0.3">
      <c r="A101" s="94"/>
      <c r="B101" s="94"/>
    </row>
    <row r="102" spans="1:7" x14ac:dyDescent="0.3">
      <c r="A102" s="94"/>
      <c r="B102" s="94"/>
    </row>
    <row r="103" spans="1:7" s="98" customFormat="1" x14ac:dyDescent="0.3">
      <c r="A103" s="97" t="s">
        <v>1617</v>
      </c>
      <c r="B103" s="97"/>
      <c r="C103" s="97">
        <f>C100-[9]MTEF!J195</f>
        <v>0</v>
      </c>
      <c r="D103" s="97">
        <f>D100-[9]MTEF!K195</f>
        <v>-199.99999999999272</v>
      </c>
      <c r="E103" s="97">
        <f>E100-[9]MTEF!L195</f>
        <v>0</v>
      </c>
      <c r="F103" s="97">
        <f>F100-[9]MTEF!M195</f>
        <v>0</v>
      </c>
      <c r="G103" s="97">
        <f>G100-[9]MTEF!N195</f>
        <v>8374.8737174137241</v>
      </c>
    </row>
    <row r="104" spans="1:7" x14ac:dyDescent="0.3">
      <c r="A104" s="94"/>
      <c r="B104" s="94"/>
    </row>
    <row r="105" spans="1:7" x14ac:dyDescent="0.3">
      <c r="A105" s="94"/>
      <c r="B105" s="94"/>
    </row>
    <row r="106" spans="1:7" x14ac:dyDescent="0.3">
      <c r="A106" s="94"/>
      <c r="B106" s="94"/>
    </row>
    <row r="107" spans="1:7" x14ac:dyDescent="0.3">
      <c r="A107" s="94"/>
      <c r="B107" s="94"/>
    </row>
    <row r="108" spans="1:7" x14ac:dyDescent="0.3">
      <c r="A108" s="94"/>
      <c r="B108" s="94"/>
    </row>
    <row r="109" spans="1:7" x14ac:dyDescent="0.3">
      <c r="A109" s="94"/>
      <c r="B109" s="94"/>
    </row>
    <row r="110" spans="1:7" x14ac:dyDescent="0.3">
      <c r="A110" s="94"/>
      <c r="B110" s="94"/>
    </row>
    <row r="111" spans="1:7" x14ac:dyDescent="0.3">
      <c r="A111" s="94"/>
      <c r="B111" s="94"/>
    </row>
    <row r="112" spans="1:7" x14ac:dyDescent="0.3">
      <c r="A112" s="94"/>
      <c r="B112" s="94"/>
    </row>
    <row r="113" spans="1:2" x14ac:dyDescent="0.3">
      <c r="A113" s="94"/>
      <c r="B113" s="94"/>
    </row>
    <row r="114" spans="1:2" x14ac:dyDescent="0.3">
      <c r="A114" s="94"/>
      <c r="B114" s="94"/>
    </row>
    <row r="115" spans="1:2" x14ac:dyDescent="0.3">
      <c r="A115" s="94"/>
      <c r="B115" s="94"/>
    </row>
    <row r="116" spans="1:2" x14ac:dyDescent="0.3">
      <c r="A116" s="94"/>
      <c r="B116" s="94"/>
    </row>
    <row r="117" spans="1:2" x14ac:dyDescent="0.3">
      <c r="A117" s="94"/>
      <c r="B117" s="94"/>
    </row>
    <row r="118" spans="1:2" x14ac:dyDescent="0.3">
      <c r="A118" s="94"/>
      <c r="B118" s="94"/>
    </row>
    <row r="119" spans="1:2" x14ac:dyDescent="0.3">
      <c r="A119" s="94"/>
      <c r="B119" s="94"/>
    </row>
    <row r="120" spans="1:2" x14ac:dyDescent="0.3">
      <c r="A120" s="94"/>
      <c r="B120" s="94"/>
    </row>
    <row r="121" spans="1:2" x14ac:dyDescent="0.3">
      <c r="A121" s="94"/>
      <c r="B121" s="94"/>
    </row>
    <row r="122" spans="1:2" x14ac:dyDescent="0.3">
      <c r="A122" s="94"/>
      <c r="B122" s="94"/>
    </row>
    <row r="123" spans="1:2" x14ac:dyDescent="0.3">
      <c r="A123" s="94"/>
      <c r="B123" s="94"/>
    </row>
    <row r="124" spans="1:2" x14ac:dyDescent="0.3">
      <c r="A124" s="94"/>
      <c r="B124" s="94"/>
    </row>
    <row r="125" spans="1:2" x14ac:dyDescent="0.3">
      <c r="A125" s="94"/>
      <c r="B125" s="94"/>
    </row>
    <row r="126" spans="1:2" x14ac:dyDescent="0.3">
      <c r="A126" s="94"/>
      <c r="B126" s="94"/>
    </row>
    <row r="127" spans="1:2" x14ac:dyDescent="0.3">
      <c r="A127" s="94"/>
      <c r="B127" s="94"/>
    </row>
    <row r="128" spans="1:2" x14ac:dyDescent="0.3">
      <c r="A128" s="94"/>
      <c r="B128" s="94"/>
    </row>
    <row r="129" spans="1:2" x14ac:dyDescent="0.3">
      <c r="A129" s="94"/>
      <c r="B129" s="94"/>
    </row>
    <row r="130" spans="1:2" x14ac:dyDescent="0.3">
      <c r="A130" s="94"/>
      <c r="B130" s="94"/>
    </row>
    <row r="131" spans="1:2" x14ac:dyDescent="0.3">
      <c r="A131" s="94"/>
      <c r="B131" s="94"/>
    </row>
  </sheetData>
  <pageMargins left="0.7" right="0.7" top="0.75" bottom="0.75" header="0.3" footer="0.3"/>
  <pageSetup scale="94" orientation="landscape" r:id="rId1"/>
  <headerFooter>
    <oddHeader>&amp;L&amp;"Times New Roman,Bold"&amp;16Draft Budget Allocations by Vote FY 2021/22 (Exc arrears, AIA, redemptions Ushs billion)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4"/>
  <sheetViews>
    <sheetView zoomScale="77" zoomScaleNormal="77" workbookViewId="0">
      <selection activeCell="Q11" sqref="Q11"/>
    </sheetView>
  </sheetViews>
  <sheetFormatPr defaultRowHeight="15" x14ac:dyDescent="0.25"/>
  <cols>
    <col min="1" max="1" width="13" customWidth="1"/>
    <col min="2" max="2" width="45" bestFit="1" customWidth="1"/>
    <col min="3" max="6" width="11.28515625" customWidth="1"/>
    <col min="7" max="7" width="4.7109375" customWidth="1"/>
    <col min="8" max="8" width="10" customWidth="1"/>
    <col min="9" max="11" width="9.140625" bestFit="1" customWidth="1"/>
    <col min="13" max="13" width="41.85546875" bestFit="1" customWidth="1"/>
    <col min="14" max="14" width="8.85546875" bestFit="1" customWidth="1"/>
    <col min="15" max="17" width="9.5703125" bestFit="1" customWidth="1"/>
  </cols>
  <sheetData>
    <row r="1" spans="1:17" x14ac:dyDescent="0.25">
      <c r="C1" s="15" t="s">
        <v>1689</v>
      </c>
      <c r="H1" s="15" t="s">
        <v>1653</v>
      </c>
      <c r="M1" s="15" t="s">
        <v>1730</v>
      </c>
    </row>
    <row r="2" spans="1:17" x14ac:dyDescent="0.25">
      <c r="C2" t="s">
        <v>1718</v>
      </c>
      <c r="D2" t="s">
        <v>1719</v>
      </c>
      <c r="E2" t="s">
        <v>1720</v>
      </c>
      <c r="F2" t="s">
        <v>1721</v>
      </c>
      <c r="H2" t="s">
        <v>1722</v>
      </c>
      <c r="I2" t="s">
        <v>1723</v>
      </c>
      <c r="J2" t="s">
        <v>1724</v>
      </c>
      <c r="K2" t="s">
        <v>1725</v>
      </c>
      <c r="N2" t="s">
        <v>1726</v>
      </c>
      <c r="O2" t="s">
        <v>1727</v>
      </c>
      <c r="P2" t="s">
        <v>1728</v>
      </c>
      <c r="Q2" t="s">
        <v>1729</v>
      </c>
    </row>
    <row r="3" spans="1:17" x14ac:dyDescent="0.25">
      <c r="A3" s="103" t="s">
        <v>1711</v>
      </c>
      <c r="B3" s="103" t="s">
        <v>886</v>
      </c>
      <c r="C3" t="s">
        <v>1714</v>
      </c>
      <c r="D3" t="s">
        <v>1715</v>
      </c>
      <c r="E3" t="s">
        <v>1716</v>
      </c>
      <c r="F3" t="s">
        <v>1717</v>
      </c>
      <c r="H3" s="15" t="s">
        <v>1710</v>
      </c>
      <c r="I3" s="15" t="s">
        <v>1654</v>
      </c>
      <c r="J3" s="15" t="s">
        <v>1655</v>
      </c>
      <c r="K3" s="15" t="s">
        <v>1656</v>
      </c>
      <c r="M3" s="139" t="s">
        <v>886</v>
      </c>
      <c r="N3" s="139" t="s">
        <v>1731</v>
      </c>
      <c r="O3" s="139" t="s">
        <v>1659</v>
      </c>
      <c r="P3" s="139" t="s">
        <v>1660</v>
      </c>
      <c r="Q3" s="139" t="s">
        <v>1661</v>
      </c>
    </row>
    <row r="4" spans="1:17" x14ac:dyDescent="0.25">
      <c r="A4" t="s">
        <v>511</v>
      </c>
      <c r="B4" t="s">
        <v>928</v>
      </c>
      <c r="C4" s="129">
        <v>361.95136000000008</v>
      </c>
      <c r="D4" s="129">
        <v>174.58800000000002</v>
      </c>
      <c r="E4" s="129">
        <v>151.38800000000001</v>
      </c>
      <c r="F4" s="129">
        <v>150.08799999999999</v>
      </c>
      <c r="H4" s="137">
        <f>VLOOKUP(A4,MTEFProgram[],3,FALSE)</f>
        <v>472.0296960518782</v>
      </c>
      <c r="I4" s="137">
        <f>VLOOKUP(A4,MTEFProgram[],4,FALSE)</f>
        <v>472.0296960518782</v>
      </c>
      <c r="J4" s="137">
        <f>VLOOKUP(A4,MTEFProgram[],5,FALSE)</f>
        <v>472.0296960518782</v>
      </c>
      <c r="K4" s="137">
        <f>VLOOKUP(A4,MTEFProgram[],6,FALSE)</f>
        <v>472.0296960518782</v>
      </c>
      <c r="M4" s="138" t="str">
        <f>B4</f>
        <v>Agro – Industrialization</v>
      </c>
      <c r="N4" s="159">
        <f>C4-H4</f>
        <v>-110.07833605187813</v>
      </c>
      <c r="O4" s="159">
        <f t="shared" ref="O4:Q4" si="0">D4-I4</f>
        <v>-297.44169605187818</v>
      </c>
      <c r="P4" s="159">
        <f t="shared" si="0"/>
        <v>-320.64169605187817</v>
      </c>
      <c r="Q4" s="159">
        <f t="shared" si="0"/>
        <v>-321.94169605187824</v>
      </c>
    </row>
    <row r="5" spans="1:17" x14ac:dyDescent="0.25">
      <c r="A5" t="s">
        <v>512</v>
      </c>
      <c r="B5" t="s">
        <v>936</v>
      </c>
      <c r="C5" s="129">
        <v>20.705927981999999</v>
      </c>
      <c r="D5" s="129">
        <v>3.6480000000000001</v>
      </c>
      <c r="E5" s="129">
        <v>0</v>
      </c>
      <c r="F5" s="129">
        <v>0</v>
      </c>
      <c r="H5" s="137">
        <f>VLOOKUP(A5,MTEFProgram[],3,FALSE)</f>
        <v>10.335509197200334</v>
      </c>
      <c r="I5" s="137">
        <f>VLOOKUP(A5,MTEFProgram[],4,FALSE)</f>
        <v>10.335509197200334</v>
      </c>
      <c r="J5" s="137">
        <f>VLOOKUP(A5,MTEFProgram[],5,FALSE)</f>
        <v>10.335509197200334</v>
      </c>
      <c r="K5" s="137">
        <f>VLOOKUP(A5,MTEFProgram[],6,FALSE)</f>
        <v>10.335509197200334</v>
      </c>
      <c r="M5" s="138" t="str">
        <f t="shared" ref="M5:M21" si="1">B5</f>
        <v>Community Mobilization and Mindset Change</v>
      </c>
      <c r="N5" s="159">
        <f t="shared" ref="N5:N21" si="2">C5-H5</f>
        <v>10.370418784799664</v>
      </c>
      <c r="O5" s="159">
        <f t="shared" ref="O5:O21" si="3">D5-I5</f>
        <v>-6.6875091972003347</v>
      </c>
      <c r="P5" s="159">
        <f t="shared" ref="P5:P21" si="4">E5-J5</f>
        <v>-10.335509197200334</v>
      </c>
      <c r="Q5" s="159">
        <f t="shared" ref="Q5:Q21" si="5">F5-K5</f>
        <v>-10.335509197200334</v>
      </c>
    </row>
    <row r="6" spans="1:17" x14ac:dyDescent="0.25">
      <c r="A6" t="s">
        <v>513</v>
      </c>
      <c r="B6" t="s">
        <v>943</v>
      </c>
      <c r="C6" s="129">
        <v>45.35</v>
      </c>
      <c r="D6" s="129"/>
      <c r="E6" s="129"/>
      <c r="F6" s="129"/>
      <c r="H6" s="137">
        <f>VLOOKUP(A6,MTEFProgram[],3,FALSE)</f>
        <v>137.94934976179286</v>
      </c>
      <c r="I6" s="137">
        <f>VLOOKUP(A6,MTEFProgram[],4,FALSE)</f>
        <v>137.94934976179286</v>
      </c>
      <c r="J6" s="137">
        <f>VLOOKUP(A6,MTEFProgram[],5,FALSE)</f>
        <v>137.94934976179286</v>
      </c>
      <c r="K6" s="137">
        <f>VLOOKUP(A6,MTEFProgram[],6,FALSE)</f>
        <v>137.94934976179286</v>
      </c>
      <c r="M6" s="138" t="str">
        <f t="shared" si="1"/>
        <v xml:space="preserve">Development Plan Implementation </v>
      </c>
      <c r="N6" s="159">
        <f t="shared" si="2"/>
        <v>-92.599349761792865</v>
      </c>
      <c r="O6" s="159">
        <f t="shared" si="3"/>
        <v>-137.94934976179286</v>
      </c>
      <c r="P6" s="159">
        <f t="shared" si="4"/>
        <v>-137.94934976179286</v>
      </c>
      <c r="Q6" s="159">
        <f t="shared" si="5"/>
        <v>-137.94934976179286</v>
      </c>
    </row>
    <row r="7" spans="1:17" x14ac:dyDescent="0.25">
      <c r="A7" t="s">
        <v>515</v>
      </c>
      <c r="B7" t="s">
        <v>947</v>
      </c>
      <c r="C7" s="129">
        <v>35.28</v>
      </c>
      <c r="D7" s="129">
        <v>4.46</v>
      </c>
      <c r="E7" s="129">
        <v>4.46</v>
      </c>
      <c r="F7" s="129">
        <v>4.46</v>
      </c>
      <c r="H7" s="137">
        <f>VLOOKUP(A7,MTEFProgram[],3,FALSE)</f>
        <v>27.665425245948473</v>
      </c>
      <c r="I7" s="137">
        <f>VLOOKUP(A7,MTEFProgram[],4,FALSE)</f>
        <v>27.665425245948473</v>
      </c>
      <c r="J7" s="137">
        <f>VLOOKUP(A7,MTEFProgram[],5,FALSE)</f>
        <v>27.665425245948473</v>
      </c>
      <c r="K7" s="137">
        <f>VLOOKUP(A7,MTEFProgram[],6,FALSE)</f>
        <v>27.665425245948473</v>
      </c>
      <c r="M7" s="138" t="str">
        <f t="shared" si="1"/>
        <v>Digital Transformation</v>
      </c>
      <c r="N7" s="159">
        <f t="shared" si="2"/>
        <v>7.6145747540515281</v>
      </c>
      <c r="O7" s="159">
        <f t="shared" si="3"/>
        <v>-23.205425245948472</v>
      </c>
      <c r="P7" s="159">
        <f t="shared" si="4"/>
        <v>-23.205425245948472</v>
      </c>
      <c r="Q7" s="159">
        <f t="shared" si="5"/>
        <v>-23.205425245948472</v>
      </c>
    </row>
    <row r="8" spans="1:17" x14ac:dyDescent="0.25">
      <c r="A8" t="s">
        <v>516</v>
      </c>
      <c r="B8" t="s">
        <v>953</v>
      </c>
      <c r="C8" s="129">
        <v>3428.0000000000005</v>
      </c>
      <c r="D8" s="129">
        <v>3292.1779999999999</v>
      </c>
      <c r="E8" s="129">
        <v>3296.444</v>
      </c>
      <c r="F8" s="129">
        <v>3287.2979999999998</v>
      </c>
      <c r="H8" s="137">
        <f>VLOOKUP(A8,MTEFProgram[],3,FALSE)</f>
        <v>2602.5489471498563</v>
      </c>
      <c r="I8" s="137">
        <f>VLOOKUP(A8,MTEFProgram[],4,FALSE)</f>
        <v>2602.5489471498563</v>
      </c>
      <c r="J8" s="137">
        <f>VLOOKUP(A8,MTEFProgram[],5,FALSE)</f>
        <v>2602.5489471498563</v>
      </c>
      <c r="K8" s="137">
        <f>VLOOKUP(A8,MTEFProgram[],6,FALSE)</f>
        <v>2602.5489471498563</v>
      </c>
      <c r="M8" s="138" t="str">
        <f t="shared" si="1"/>
        <v>Governance and Security Strengthening</v>
      </c>
      <c r="N8" s="159">
        <f t="shared" si="2"/>
        <v>825.45105285014415</v>
      </c>
      <c r="O8" s="159">
        <f t="shared" si="3"/>
        <v>689.62905285014358</v>
      </c>
      <c r="P8" s="159">
        <f t="shared" si="4"/>
        <v>693.89505285014366</v>
      </c>
      <c r="Q8" s="159">
        <f t="shared" si="5"/>
        <v>684.74905285014347</v>
      </c>
    </row>
    <row r="9" spans="1:17" x14ac:dyDescent="0.25">
      <c r="A9" t="s">
        <v>518</v>
      </c>
      <c r="B9" t="s">
        <v>962</v>
      </c>
      <c r="C9" s="129">
        <v>284.76938645300004</v>
      </c>
      <c r="D9" s="129">
        <v>19.655000000000001</v>
      </c>
      <c r="E9" s="129">
        <v>50.44</v>
      </c>
      <c r="F9" s="129">
        <v>35.076000000000001</v>
      </c>
      <c r="H9" s="137">
        <f>VLOOKUP(A9,MTEFProgram[],3,FALSE)</f>
        <v>529.80654966963039</v>
      </c>
      <c r="I9" s="137">
        <f>VLOOKUP(A9,MTEFProgram[],4,FALSE)</f>
        <v>529.80654966963039</v>
      </c>
      <c r="J9" s="137">
        <f>VLOOKUP(A9,MTEFProgram[],5,FALSE)</f>
        <v>529.80654966963039</v>
      </c>
      <c r="K9" s="137">
        <f>VLOOKUP(A9,MTEFProgram[],6,FALSE)</f>
        <v>529.80654966963039</v>
      </c>
      <c r="M9" s="138" t="str">
        <f t="shared" si="1"/>
        <v>Human Capital Development</v>
      </c>
      <c r="N9" s="159">
        <f t="shared" si="2"/>
        <v>-245.03716321663035</v>
      </c>
      <c r="O9" s="159">
        <f t="shared" si="3"/>
        <v>-510.15154966963041</v>
      </c>
      <c r="P9" s="159">
        <f t="shared" si="4"/>
        <v>-479.36654966963039</v>
      </c>
      <c r="Q9" s="159">
        <f t="shared" si="5"/>
        <v>-494.73054966963036</v>
      </c>
    </row>
    <row r="10" spans="1:17" x14ac:dyDescent="0.25">
      <c r="A10" t="s">
        <v>519</v>
      </c>
      <c r="B10" t="s">
        <v>1000</v>
      </c>
      <c r="C10" s="129">
        <v>312.18</v>
      </c>
      <c r="D10" s="129">
        <v>24.472000000000001</v>
      </c>
      <c r="E10" s="129">
        <v>17.218</v>
      </c>
      <c r="F10" s="129">
        <v>0</v>
      </c>
      <c r="H10" s="137">
        <f>VLOOKUP(A10,MTEFProgram[],3,FALSE)</f>
        <v>83.003838800321319</v>
      </c>
      <c r="I10" s="137">
        <f>VLOOKUP(A10,MTEFProgram[],4,FALSE)</f>
        <v>83.003838800321319</v>
      </c>
      <c r="J10" s="137">
        <f>VLOOKUP(A10,MTEFProgram[],5,FALSE)</f>
        <v>83.003838800321319</v>
      </c>
      <c r="K10" s="137">
        <f>VLOOKUP(A10,MTEFProgram[],6,FALSE)</f>
        <v>83.003838800321319</v>
      </c>
      <c r="M10" s="138" t="str">
        <f t="shared" si="1"/>
        <v>Innovation, Technology Development &amp; Transfer</v>
      </c>
      <c r="N10" s="159">
        <f t="shared" si="2"/>
        <v>229.17616119967869</v>
      </c>
      <c r="O10" s="159">
        <f t="shared" si="3"/>
        <v>-58.531838800321317</v>
      </c>
      <c r="P10" s="159">
        <f t="shared" si="4"/>
        <v>-65.785838800321315</v>
      </c>
      <c r="Q10" s="159">
        <f t="shared" si="5"/>
        <v>-83.003838800321319</v>
      </c>
    </row>
    <row r="11" spans="1:17" x14ac:dyDescent="0.25">
      <c r="A11" t="s">
        <v>520</v>
      </c>
      <c r="B11" t="s">
        <v>1007</v>
      </c>
      <c r="C11" s="129">
        <v>1631.4687052639999</v>
      </c>
      <c r="D11" s="129">
        <v>1018.19047812</v>
      </c>
      <c r="E11" s="129">
        <v>576.04066815599992</v>
      </c>
      <c r="F11" s="129">
        <v>330.40496815600005</v>
      </c>
      <c r="H11" s="137">
        <f>VLOOKUP(A11,MTEFProgram[],3,FALSE)</f>
        <v>2224.5763712116041</v>
      </c>
      <c r="I11" s="137">
        <f>VLOOKUP(A11,MTEFProgram[],4,FALSE)</f>
        <v>2224.5763712116041</v>
      </c>
      <c r="J11" s="137">
        <f>VLOOKUP(A11,MTEFProgram[],5,FALSE)</f>
        <v>2224.5763712116041</v>
      </c>
      <c r="K11" s="137">
        <f>VLOOKUP(A11,MTEFProgram[],6,FALSE)</f>
        <v>2224.5763712116041</v>
      </c>
      <c r="M11" s="138" t="str">
        <f t="shared" si="1"/>
        <v>Integrated Transport Infrastructure and Services</v>
      </c>
      <c r="N11" s="159">
        <f t="shared" si="2"/>
        <v>-593.10766594760412</v>
      </c>
      <c r="O11" s="159">
        <f t="shared" si="3"/>
        <v>-1206.385893091604</v>
      </c>
      <c r="P11" s="159">
        <f t="shared" si="4"/>
        <v>-1648.5357030556042</v>
      </c>
      <c r="Q11" s="159">
        <f t="shared" si="5"/>
        <v>-1894.1714030556041</v>
      </c>
    </row>
    <row r="12" spans="1:17" x14ac:dyDescent="0.25">
      <c r="A12" t="s">
        <v>522</v>
      </c>
      <c r="B12" t="s">
        <v>1088</v>
      </c>
      <c r="C12" s="129">
        <v>5.9260000000000002</v>
      </c>
      <c r="D12" s="129"/>
      <c r="E12" s="129"/>
      <c r="F12" s="129"/>
      <c r="H12" s="137">
        <f>VLOOKUP(A12,MTEFProgram[],3,FALSE)</f>
        <v>4.7837630004469229</v>
      </c>
      <c r="I12" s="137">
        <f>VLOOKUP(A12,MTEFProgram[],4,FALSE)</f>
        <v>4.7837630004469229</v>
      </c>
      <c r="J12" s="137">
        <f>VLOOKUP(A12,MTEFProgram[],5,FALSE)</f>
        <v>4.7837630004469229</v>
      </c>
      <c r="K12" s="137">
        <f>VLOOKUP(A12,MTEFProgram[],6,FALSE)</f>
        <v>4.7837630004469229</v>
      </c>
      <c r="M12" s="138" t="str">
        <f t="shared" si="1"/>
        <v>Manufacturing</v>
      </c>
      <c r="N12" s="159">
        <f t="shared" si="2"/>
        <v>1.1422369995530772</v>
      </c>
      <c r="O12" s="159">
        <f t="shared" si="3"/>
        <v>-4.7837630004469229</v>
      </c>
      <c r="P12" s="159">
        <f t="shared" si="4"/>
        <v>-4.7837630004469229</v>
      </c>
      <c r="Q12" s="159">
        <f t="shared" si="5"/>
        <v>-4.7837630004469229</v>
      </c>
    </row>
    <row r="13" spans="1:17" x14ac:dyDescent="0.25">
      <c r="A13" t="s">
        <v>524</v>
      </c>
      <c r="B13" t="s">
        <v>1093</v>
      </c>
      <c r="C13" s="129">
        <v>22.454377999999998</v>
      </c>
      <c r="D13" s="129">
        <v>2</v>
      </c>
      <c r="E13" s="129">
        <v>1.6890000000000001</v>
      </c>
      <c r="F13" s="129">
        <v>1.2</v>
      </c>
      <c r="H13" s="137">
        <f>VLOOKUP(A13,MTEFProgram[],3,FALSE)</f>
        <v>60</v>
      </c>
      <c r="I13" s="137">
        <f>VLOOKUP(A13,MTEFProgram[],4,FALSE)</f>
        <v>22.453378000000001</v>
      </c>
      <c r="J13" s="137">
        <f>VLOOKUP(A13,MTEFProgram[],5,FALSE)</f>
        <v>22.453378000000001</v>
      </c>
      <c r="K13" s="137">
        <f>VLOOKUP(A13,MTEFProgram[],6,FALSE)</f>
        <v>22.453378000000001</v>
      </c>
      <c r="M13" s="138" t="str">
        <f t="shared" si="1"/>
        <v>Mineral Development</v>
      </c>
      <c r="N13" s="159">
        <f t="shared" si="2"/>
        <v>-37.545622000000002</v>
      </c>
      <c r="O13" s="159">
        <f t="shared" si="3"/>
        <v>-20.453378000000001</v>
      </c>
      <c r="P13" s="159">
        <f t="shared" si="4"/>
        <v>-20.764378000000001</v>
      </c>
      <c r="Q13" s="159">
        <f t="shared" si="5"/>
        <v>-21.253378000000001</v>
      </c>
    </row>
    <row r="14" spans="1:17" x14ac:dyDescent="0.25">
      <c r="A14" t="s">
        <v>525</v>
      </c>
      <c r="B14" t="s">
        <v>1095</v>
      </c>
      <c r="C14" s="129">
        <v>75.740000000000009</v>
      </c>
      <c r="D14" s="129">
        <v>241.71</v>
      </c>
      <c r="E14" s="129">
        <v>241.71</v>
      </c>
      <c r="F14" s="129">
        <v>247.71</v>
      </c>
      <c r="H14" s="137">
        <f>VLOOKUP(A14,MTEFProgram[],3,FALSE)</f>
        <v>59.949750999999999</v>
      </c>
      <c r="I14" s="137">
        <f>VLOOKUP(A14,MTEFProgram[],4,FALSE)</f>
        <v>59.949750999999999</v>
      </c>
      <c r="J14" s="137">
        <f>VLOOKUP(A14,MTEFProgram[],5,FALSE)</f>
        <v>59.949750999999999</v>
      </c>
      <c r="K14" s="137">
        <f>VLOOKUP(A14,MTEFProgram[],6,FALSE)</f>
        <v>59.949750999999999</v>
      </c>
      <c r="M14" s="138" t="str">
        <f t="shared" si="1"/>
        <v>Petroleum Development</v>
      </c>
      <c r="N14" s="159">
        <f t="shared" si="2"/>
        <v>15.79024900000001</v>
      </c>
      <c r="O14" s="159">
        <f t="shared" si="3"/>
        <v>181.76024900000002</v>
      </c>
      <c r="P14" s="159">
        <f t="shared" si="4"/>
        <v>181.76024900000002</v>
      </c>
      <c r="Q14" s="159">
        <f t="shared" si="5"/>
        <v>187.76024900000002</v>
      </c>
    </row>
    <row r="15" spans="1:17" x14ac:dyDescent="0.25">
      <c r="A15" t="s">
        <v>527</v>
      </c>
      <c r="B15" t="s">
        <v>1107</v>
      </c>
      <c r="C15" s="129">
        <v>8.5</v>
      </c>
      <c r="D15" s="129">
        <v>0</v>
      </c>
      <c r="E15" s="129">
        <v>0</v>
      </c>
      <c r="F15" s="129">
        <v>0</v>
      </c>
      <c r="H15" s="137">
        <f>VLOOKUP(A15,MTEFProgram[],3,FALSE)</f>
        <v>19.193054948730481</v>
      </c>
      <c r="I15" s="137">
        <f>VLOOKUP(A15,MTEFProgram[],4,FALSE)</f>
        <v>19.193054948730481</v>
      </c>
      <c r="J15" s="137">
        <f>VLOOKUP(A15,MTEFProgram[],5,FALSE)</f>
        <v>19.193054948730481</v>
      </c>
      <c r="K15" s="137">
        <f>VLOOKUP(A15,MTEFProgram[],6,FALSE)</f>
        <v>19.193054948730481</v>
      </c>
      <c r="M15" s="138" t="str">
        <f t="shared" si="1"/>
        <v>Private Sector Development</v>
      </c>
      <c r="N15" s="159">
        <f t="shared" si="2"/>
        <v>-10.693054948730481</v>
      </c>
      <c r="O15" s="159">
        <f t="shared" si="3"/>
        <v>-19.193054948730481</v>
      </c>
      <c r="P15" s="159">
        <f t="shared" si="4"/>
        <v>-19.193054948730481</v>
      </c>
      <c r="Q15" s="159">
        <f t="shared" si="5"/>
        <v>-19.193054948730481</v>
      </c>
    </row>
    <row r="16" spans="1:17" x14ac:dyDescent="0.25">
      <c r="A16" t="s">
        <v>529</v>
      </c>
      <c r="B16" t="s">
        <v>1113</v>
      </c>
      <c r="C16" s="129">
        <v>2396.5078133147549</v>
      </c>
      <c r="D16" s="129">
        <v>2151.9855667592401</v>
      </c>
      <c r="E16" s="129">
        <v>2247.3292536655686</v>
      </c>
      <c r="F16" s="129">
        <v>1932.7986136950028</v>
      </c>
      <c r="H16" s="137">
        <f>VLOOKUP(A16,MTEFProgram[],3,FALSE)</f>
        <v>2137</v>
      </c>
      <c r="I16" s="137">
        <f>VLOOKUP(A16,MTEFProgram[],4,FALSE)</f>
        <v>48.627132024206681</v>
      </c>
      <c r="J16" s="137">
        <f>VLOOKUP(A16,MTEFProgram[],5,FALSE)</f>
        <v>48.627132024206681</v>
      </c>
      <c r="K16" s="137">
        <f>VLOOKUP(A16,MTEFProgram[],6,FALSE)</f>
        <v>48.627132024206681</v>
      </c>
      <c r="M16" s="138" t="str">
        <f t="shared" si="1"/>
        <v>Public Sector Transformation</v>
      </c>
      <c r="N16" s="159">
        <f t="shared" si="2"/>
        <v>259.50781331475491</v>
      </c>
      <c r="O16" s="159">
        <f t="shared" si="3"/>
        <v>2103.3584347350334</v>
      </c>
      <c r="P16" s="159">
        <f t="shared" si="4"/>
        <v>2198.7021216413618</v>
      </c>
      <c r="Q16" s="159">
        <f t="shared" si="5"/>
        <v>1884.1714816707961</v>
      </c>
    </row>
    <row r="17" spans="1:17" x14ac:dyDescent="0.25">
      <c r="A17" t="s">
        <v>531</v>
      </c>
      <c r="B17" t="s">
        <v>1238</v>
      </c>
      <c r="C17" s="129">
        <v>21</v>
      </c>
      <c r="D17" s="129">
        <v>5</v>
      </c>
      <c r="E17" s="129">
        <v>0</v>
      </c>
      <c r="F17" s="129">
        <v>0</v>
      </c>
      <c r="H17" s="137">
        <f>VLOOKUP(A17,MTEFProgram[],3,FALSE)</f>
        <v>232.83648651506999</v>
      </c>
      <c r="I17" s="137">
        <f>VLOOKUP(A17,MTEFProgram[],4,FALSE)</f>
        <v>232.83648651506999</v>
      </c>
      <c r="J17" s="137">
        <f>VLOOKUP(A17,MTEFProgram[],5,FALSE)</f>
        <v>232.83648651506999</v>
      </c>
      <c r="K17" s="137">
        <f>VLOOKUP(A17,MTEFProgram[],6,FALSE)</f>
        <v>232.83648651506999</v>
      </c>
      <c r="M17" s="138" t="str">
        <f t="shared" si="1"/>
        <v>Regional Development</v>
      </c>
      <c r="N17" s="159">
        <f t="shared" si="2"/>
        <v>-211.83648651506999</v>
      </c>
      <c r="O17" s="159">
        <f t="shared" si="3"/>
        <v>-227.83648651506999</v>
      </c>
      <c r="P17" s="159">
        <f t="shared" si="4"/>
        <v>-232.83648651506999</v>
      </c>
      <c r="Q17" s="159">
        <f t="shared" si="5"/>
        <v>-232.83648651506999</v>
      </c>
    </row>
    <row r="18" spans="1:17" x14ac:dyDescent="0.25">
      <c r="A18" t="s">
        <v>533</v>
      </c>
      <c r="B18" t="s">
        <v>1251</v>
      </c>
      <c r="C18" s="129">
        <v>411.92021099999988</v>
      </c>
      <c r="D18" s="129">
        <v>134.13999999999999</v>
      </c>
      <c r="E18" s="129">
        <v>6</v>
      </c>
      <c r="F18" s="129">
        <v>6</v>
      </c>
      <c r="H18" s="137">
        <f>VLOOKUP(A18,MTEFProgram[],3,FALSE)</f>
        <v>338.91203124399999</v>
      </c>
      <c r="I18" s="137">
        <f>VLOOKUP(A18,MTEFProgram[],4,FALSE)</f>
        <v>338.91203124399999</v>
      </c>
      <c r="J18" s="137">
        <f>VLOOKUP(A18,MTEFProgram[],5,FALSE)</f>
        <v>338.91203124399999</v>
      </c>
      <c r="K18" s="137">
        <f>VLOOKUP(A18,MTEFProgram[],6,FALSE)</f>
        <v>338.91203124399999</v>
      </c>
      <c r="M18" s="138" t="str">
        <f t="shared" si="1"/>
        <v>Sustainable Energy Development</v>
      </c>
      <c r="N18" s="159">
        <f t="shared" si="2"/>
        <v>73.00817975599989</v>
      </c>
      <c r="O18" s="159">
        <f t="shared" si="3"/>
        <v>-204.772031244</v>
      </c>
      <c r="P18" s="159">
        <f t="shared" si="4"/>
        <v>-332.91203124399999</v>
      </c>
      <c r="Q18" s="159">
        <f t="shared" si="5"/>
        <v>-332.91203124399999</v>
      </c>
    </row>
    <row r="19" spans="1:17" x14ac:dyDescent="0.25">
      <c r="A19" t="s">
        <v>534</v>
      </c>
      <c r="B19" t="s">
        <v>1493</v>
      </c>
      <c r="C19" s="129">
        <v>2.9</v>
      </c>
      <c r="D19" s="129">
        <v>3.48</v>
      </c>
      <c r="E19" s="129">
        <v>0</v>
      </c>
      <c r="F19" s="129">
        <v>0</v>
      </c>
      <c r="H19" s="137">
        <f>VLOOKUP(A19,MTEFProgram[],3,FALSE)</f>
        <v>48.236362642067888</v>
      </c>
      <c r="I19" s="137">
        <f>VLOOKUP(A19,MTEFProgram[],4,FALSE)</f>
        <v>48.236362642067888</v>
      </c>
      <c r="J19" s="137">
        <f>VLOOKUP(A19,MTEFProgram[],5,FALSE)</f>
        <v>48.236362642067903</v>
      </c>
      <c r="K19" s="137">
        <f>VLOOKUP(A19,MTEFProgram[],6,FALSE)</f>
        <v>48.236362642067903</v>
      </c>
      <c r="M19" s="138" t="str">
        <f t="shared" si="1"/>
        <v>Sustainable Urban Development</v>
      </c>
      <c r="N19" s="159">
        <f t="shared" si="2"/>
        <v>-45.33636264206789</v>
      </c>
      <c r="O19" s="159">
        <f t="shared" si="3"/>
        <v>-44.756362642067891</v>
      </c>
      <c r="P19" s="159">
        <f t="shared" si="4"/>
        <v>-48.236362642067903</v>
      </c>
      <c r="Q19" s="159">
        <f t="shared" si="5"/>
        <v>-48.236362642067903</v>
      </c>
    </row>
    <row r="20" spans="1:17" x14ac:dyDescent="0.25">
      <c r="A20" t="s">
        <v>535</v>
      </c>
      <c r="B20" t="s">
        <v>1267</v>
      </c>
      <c r="C20" s="129">
        <v>45.58</v>
      </c>
      <c r="D20" s="129">
        <v>43.55</v>
      </c>
      <c r="E20" s="129">
        <v>49.239999999999995</v>
      </c>
      <c r="F20" s="129">
        <v>44.03</v>
      </c>
      <c r="H20" s="137">
        <f>VLOOKUP(A20,MTEFProgram[],3,FALSE)</f>
        <v>16.296271384689621</v>
      </c>
      <c r="I20" s="137">
        <f>VLOOKUP(A20,MTEFProgram[],4,FALSE)</f>
        <v>16.296271384689621</v>
      </c>
      <c r="J20" s="137">
        <f>VLOOKUP(A20,MTEFProgram[],5,FALSE)</f>
        <v>16.296271384689621</v>
      </c>
      <c r="K20" s="137">
        <f>VLOOKUP(A20,MTEFProgram[],6,FALSE)</f>
        <v>16.296271384689621</v>
      </c>
      <c r="M20" s="138" t="str">
        <f t="shared" si="1"/>
        <v>Tourism Development</v>
      </c>
      <c r="N20" s="159">
        <f t="shared" si="2"/>
        <v>29.283728615310377</v>
      </c>
      <c r="O20" s="159">
        <f t="shared" si="3"/>
        <v>27.253728615310376</v>
      </c>
      <c r="P20" s="159">
        <f t="shared" si="4"/>
        <v>32.943728615310377</v>
      </c>
      <c r="Q20" s="159">
        <f t="shared" si="5"/>
        <v>27.73372861531038</v>
      </c>
    </row>
    <row r="21" spans="1:17" x14ac:dyDescent="0.25">
      <c r="A21" t="s">
        <v>537</v>
      </c>
      <c r="B21" t="s">
        <v>1272</v>
      </c>
      <c r="C21" s="129">
        <v>418.75772754511047</v>
      </c>
      <c r="D21" s="129">
        <v>676.55013521599994</v>
      </c>
      <c r="E21" s="129">
        <v>560.18220562349995</v>
      </c>
      <c r="F21" s="129">
        <v>214.84991713299996</v>
      </c>
      <c r="H21" s="137">
        <f>VLOOKUP(A21,MTEFProgram[],3,FALSE)</f>
        <v>404.89298109864274</v>
      </c>
      <c r="I21" s="137">
        <f>VLOOKUP(A21,MTEFProgram[],4,FALSE)</f>
        <v>404.89298109864274</v>
      </c>
      <c r="J21" s="137">
        <f>VLOOKUP(A21,MTEFProgram[],5,FALSE)</f>
        <v>404.89298109864274</v>
      </c>
      <c r="K21" s="137">
        <f>VLOOKUP(A21,MTEFProgram[],6,FALSE)</f>
        <v>404.89298109864274</v>
      </c>
      <c r="M21" s="138" t="str">
        <f t="shared" si="1"/>
        <v>Water, Climate Change and ENR Management</v>
      </c>
      <c r="N21" s="159">
        <f t="shared" si="2"/>
        <v>13.864746446467734</v>
      </c>
      <c r="O21" s="159">
        <f t="shared" si="3"/>
        <v>271.65715411735721</v>
      </c>
      <c r="P21" s="159">
        <f t="shared" si="4"/>
        <v>155.28922452485722</v>
      </c>
      <c r="Q21" s="159">
        <f t="shared" si="5"/>
        <v>-190.04306396564277</v>
      </c>
    </row>
    <row r="22" spans="1:17" x14ac:dyDescent="0.25">
      <c r="A22" t="s">
        <v>1709</v>
      </c>
      <c r="C22" s="129">
        <v>9528.9915095588676</v>
      </c>
      <c r="D22" s="129">
        <v>7795.6071800952404</v>
      </c>
      <c r="E22" s="129">
        <v>7202.1411274450675</v>
      </c>
      <c r="F22" s="129">
        <v>6253.9154989840026</v>
      </c>
      <c r="H22" s="17">
        <f>SUM(H4:H21)</f>
        <v>9410.016388921882</v>
      </c>
      <c r="I22" s="17">
        <f t="shared" ref="I22:K22" si="6">SUM(I4:I21)</f>
        <v>7284.0968989460871</v>
      </c>
      <c r="J22" s="17">
        <f t="shared" si="6"/>
        <v>7284.096898946088</v>
      </c>
      <c r="K22" s="17">
        <f t="shared" si="6"/>
        <v>7284.096898946088</v>
      </c>
    </row>
    <row r="27" spans="1:17" x14ac:dyDescent="0.25">
      <c r="I27">
        <v>174.58800000000002</v>
      </c>
      <c r="J27">
        <v>151.38800000000001</v>
      </c>
      <c r="K27">
        <v>150.08799999999999</v>
      </c>
    </row>
    <row r="28" spans="1:17" x14ac:dyDescent="0.25">
      <c r="B28">
        <v>7795.6071800952377</v>
      </c>
      <c r="D28">
        <v>7795.6071800952377</v>
      </c>
      <c r="E28">
        <v>7202.1411274450784</v>
      </c>
      <c r="F28">
        <v>6253.9154989839844</v>
      </c>
      <c r="I28">
        <v>3.6480000000000001</v>
      </c>
      <c r="J28">
        <v>0</v>
      </c>
      <c r="K28">
        <v>0</v>
      </c>
    </row>
    <row r="29" spans="1:17" x14ac:dyDescent="0.25">
      <c r="I29">
        <v>45.35</v>
      </c>
      <c r="J29">
        <v>0</v>
      </c>
      <c r="K29">
        <v>0</v>
      </c>
    </row>
    <row r="30" spans="1:17" x14ac:dyDescent="0.25">
      <c r="I30">
        <v>4.46</v>
      </c>
      <c r="J30">
        <v>4.46</v>
      </c>
      <c r="K30">
        <v>4.46</v>
      </c>
    </row>
    <row r="31" spans="1:17" x14ac:dyDescent="0.25">
      <c r="I31">
        <v>3292.1779999999999</v>
      </c>
      <c r="J31">
        <v>3296.444</v>
      </c>
      <c r="K31">
        <v>3287.2979999999998</v>
      </c>
    </row>
    <row r="32" spans="1:17" x14ac:dyDescent="0.25">
      <c r="I32">
        <v>19.655000000000001</v>
      </c>
      <c r="J32">
        <v>50.44</v>
      </c>
      <c r="K32">
        <v>35.076000000000001</v>
      </c>
    </row>
    <row r="33" spans="9:11" x14ac:dyDescent="0.25">
      <c r="I33">
        <v>24.472000000000001</v>
      </c>
      <c r="J33">
        <v>17.218</v>
      </c>
      <c r="K33">
        <v>0</v>
      </c>
    </row>
    <row r="34" spans="9:11" x14ac:dyDescent="0.25">
      <c r="I34">
        <v>1018.19047812</v>
      </c>
      <c r="J34">
        <v>576.04066815599992</v>
      </c>
      <c r="K34">
        <v>330.40496815600005</v>
      </c>
    </row>
    <row r="35" spans="9:11" x14ac:dyDescent="0.25">
      <c r="I35">
        <v>0</v>
      </c>
      <c r="J35">
        <v>0</v>
      </c>
      <c r="K35">
        <v>0</v>
      </c>
    </row>
    <row r="36" spans="9:11" x14ac:dyDescent="0.25">
      <c r="I36">
        <v>2</v>
      </c>
      <c r="J36">
        <v>1.6890000000000001</v>
      </c>
      <c r="K36">
        <v>1.2</v>
      </c>
    </row>
    <row r="37" spans="9:11" x14ac:dyDescent="0.25">
      <c r="I37">
        <v>241.71</v>
      </c>
      <c r="J37">
        <v>241.71</v>
      </c>
      <c r="K37">
        <v>247.71</v>
      </c>
    </row>
    <row r="38" spans="9:11" x14ac:dyDescent="0.25">
      <c r="I38">
        <v>0</v>
      </c>
      <c r="J38">
        <v>0</v>
      </c>
      <c r="K38">
        <v>0</v>
      </c>
    </row>
    <row r="39" spans="9:11" x14ac:dyDescent="0.25">
      <c r="I39">
        <v>2151.9855667592401</v>
      </c>
      <c r="J39">
        <v>2247.3292536655686</v>
      </c>
      <c r="K39">
        <v>1932.7986136950028</v>
      </c>
    </row>
    <row r="40" spans="9:11" x14ac:dyDescent="0.25">
      <c r="I40">
        <v>5</v>
      </c>
      <c r="J40">
        <v>0</v>
      </c>
      <c r="K40">
        <v>0</v>
      </c>
    </row>
    <row r="41" spans="9:11" x14ac:dyDescent="0.25">
      <c r="I41">
        <v>134.13999999999999</v>
      </c>
      <c r="J41">
        <v>6</v>
      </c>
      <c r="K41">
        <v>6</v>
      </c>
    </row>
    <row r="42" spans="9:11" x14ac:dyDescent="0.25">
      <c r="I42">
        <v>3.48</v>
      </c>
      <c r="J42">
        <v>0</v>
      </c>
      <c r="K42">
        <v>0</v>
      </c>
    </row>
    <row r="43" spans="9:11" x14ac:dyDescent="0.25">
      <c r="I43">
        <v>43.55</v>
      </c>
      <c r="J43">
        <v>49.239999999999995</v>
      </c>
      <c r="K43">
        <v>44.03</v>
      </c>
    </row>
    <row r="44" spans="9:11" x14ac:dyDescent="0.25">
      <c r="I44">
        <v>676.55013521599994</v>
      </c>
      <c r="J44">
        <v>560.18220562349995</v>
      </c>
      <c r="K44">
        <v>214.84991713299996</v>
      </c>
    </row>
  </sheetData>
  <conditionalFormatting sqref="N4:Q21">
    <cfRule type="cellIs" dxfId="71" priority="1" operator="greaterThan">
      <formula>0</formula>
    </cfRule>
  </conditionalFormatting>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85" zoomScaleNormal="85" workbookViewId="0">
      <selection activeCell="G25" sqref="G25"/>
    </sheetView>
  </sheetViews>
  <sheetFormatPr defaultRowHeight="15" x14ac:dyDescent="0.25"/>
  <cols>
    <col min="1" max="1" width="45" bestFit="1" customWidth="1"/>
    <col min="2" max="5" width="11.140625" bestFit="1" customWidth="1"/>
    <col min="6" max="6" width="9.5703125" bestFit="1" customWidth="1"/>
    <col min="8" max="11" width="9.5703125" bestFit="1" customWidth="1"/>
    <col min="13" max="13" width="15" customWidth="1"/>
    <col min="14" max="17" width="9.5703125" bestFit="1" customWidth="1"/>
  </cols>
  <sheetData>
    <row r="1" spans="1:17" x14ac:dyDescent="0.25">
      <c r="A1" s="15" t="s">
        <v>1689</v>
      </c>
      <c r="H1" s="15" t="s">
        <v>1653</v>
      </c>
      <c r="M1" s="15" t="s">
        <v>1730</v>
      </c>
    </row>
    <row r="2" spans="1:17" x14ac:dyDescent="0.25">
      <c r="A2" s="167" t="s">
        <v>886</v>
      </c>
      <c r="B2" s="167" t="s">
        <v>1714</v>
      </c>
      <c r="C2" s="167" t="s">
        <v>1715</v>
      </c>
      <c r="D2" s="167" t="s">
        <v>1716</v>
      </c>
      <c r="E2" s="167" t="s">
        <v>1717</v>
      </c>
      <c r="H2" s="170" t="s">
        <v>1710</v>
      </c>
      <c r="I2" s="170" t="s">
        <v>1654</v>
      </c>
      <c r="J2" s="170" t="s">
        <v>1655</v>
      </c>
      <c r="K2" s="170" t="s">
        <v>1656</v>
      </c>
      <c r="M2" s="243" t="s">
        <v>886</v>
      </c>
      <c r="N2" s="243" t="s">
        <v>1731</v>
      </c>
      <c r="O2" s="243" t="s">
        <v>1659</v>
      </c>
      <c r="P2" s="243" t="s">
        <v>1660</v>
      </c>
      <c r="Q2" s="243" t="s">
        <v>1661</v>
      </c>
    </row>
    <row r="3" spans="1:17" x14ac:dyDescent="0.25">
      <c r="A3" t="s">
        <v>928</v>
      </c>
      <c r="B3" s="129">
        <v>361.95136000000008</v>
      </c>
      <c r="C3" s="150">
        <v>174.58800000000002</v>
      </c>
      <c r="D3" s="150">
        <v>151.38800000000001</v>
      </c>
      <c r="E3" s="150">
        <v>150.08799999999999</v>
      </c>
      <c r="H3" s="150">
        <v>472.0296960518782</v>
      </c>
      <c r="I3" s="150">
        <v>472.0296960518782</v>
      </c>
      <c r="J3" s="150">
        <v>472.0296960518782</v>
      </c>
      <c r="K3" s="150">
        <v>472.0296960518782</v>
      </c>
      <c r="M3" s="226" t="s">
        <v>928</v>
      </c>
      <c r="N3" s="244">
        <f>H3-B3</f>
        <v>110.07833605187813</v>
      </c>
      <c r="O3" s="244">
        <f t="shared" ref="O3:Q19" si="0">I3-C3</f>
        <v>297.44169605187818</v>
      </c>
      <c r="P3" s="244">
        <f t="shared" si="0"/>
        <v>320.64169605187817</v>
      </c>
      <c r="Q3" s="244">
        <f t="shared" si="0"/>
        <v>321.94169605187824</v>
      </c>
    </row>
    <row r="4" spans="1:17" x14ac:dyDescent="0.25">
      <c r="A4" t="s">
        <v>936</v>
      </c>
      <c r="B4" s="129">
        <v>20.705927981999999</v>
      </c>
      <c r="C4" s="129">
        <v>3.6480000000000001</v>
      </c>
      <c r="D4" s="129">
        <v>0</v>
      </c>
      <c r="E4" s="129">
        <v>0</v>
      </c>
      <c r="H4" s="150">
        <v>10.335509197200334</v>
      </c>
      <c r="I4" s="150">
        <v>10.335509197200334</v>
      </c>
      <c r="J4" s="150">
        <v>10.335509197200334</v>
      </c>
      <c r="K4" s="150">
        <v>10.335509197200334</v>
      </c>
      <c r="M4" s="226" t="s">
        <v>936</v>
      </c>
      <c r="N4" s="244">
        <f t="shared" ref="N4:O20" si="1">H4-B4</f>
        <v>-10.370418784799664</v>
      </c>
      <c r="O4" s="244">
        <f t="shared" si="0"/>
        <v>6.6875091972003347</v>
      </c>
      <c r="P4" s="244">
        <f t="shared" si="0"/>
        <v>10.335509197200334</v>
      </c>
      <c r="Q4" s="244">
        <f t="shared" si="0"/>
        <v>10.335509197200334</v>
      </c>
    </row>
    <row r="5" spans="1:17" x14ac:dyDescent="0.25">
      <c r="A5" t="s">
        <v>943</v>
      </c>
      <c r="B5" s="129">
        <v>45.35</v>
      </c>
      <c r="C5" s="129">
        <v>45.35</v>
      </c>
      <c r="D5" s="129">
        <v>0</v>
      </c>
      <c r="E5" s="129">
        <v>0</v>
      </c>
      <c r="H5" s="150">
        <v>137.94934976179286</v>
      </c>
      <c r="I5" s="150">
        <v>137.94934976179286</v>
      </c>
      <c r="J5" s="150">
        <v>137.94934976179286</v>
      </c>
      <c r="K5" s="150">
        <v>137.94934976179286</v>
      </c>
      <c r="M5" s="226" t="s">
        <v>943</v>
      </c>
      <c r="N5" s="244">
        <f t="shared" si="1"/>
        <v>92.599349761792865</v>
      </c>
      <c r="O5" s="244">
        <f t="shared" si="0"/>
        <v>92.599349761792865</v>
      </c>
      <c r="P5" s="244">
        <f t="shared" si="0"/>
        <v>137.94934976179286</v>
      </c>
      <c r="Q5" s="244">
        <f t="shared" si="0"/>
        <v>137.94934976179286</v>
      </c>
    </row>
    <row r="6" spans="1:17" x14ac:dyDescent="0.25">
      <c r="A6" t="s">
        <v>947</v>
      </c>
      <c r="B6" s="129">
        <v>35.28</v>
      </c>
      <c r="C6" s="129">
        <v>4.46</v>
      </c>
      <c r="D6" s="129">
        <v>4.46</v>
      </c>
      <c r="E6" s="129">
        <v>4.46</v>
      </c>
      <c r="H6" s="150">
        <v>27.665425245948473</v>
      </c>
      <c r="I6" s="150">
        <v>27.665425245948473</v>
      </c>
      <c r="J6" s="150">
        <v>27.665425245948473</v>
      </c>
      <c r="K6" s="150">
        <v>27.665425245948473</v>
      </c>
      <c r="M6" s="226" t="s">
        <v>947</v>
      </c>
      <c r="N6" s="244">
        <f t="shared" si="1"/>
        <v>-7.6145747540515281</v>
      </c>
      <c r="O6" s="244">
        <f t="shared" si="0"/>
        <v>23.205425245948472</v>
      </c>
      <c r="P6" s="244">
        <f t="shared" si="0"/>
        <v>23.205425245948472</v>
      </c>
      <c r="Q6" s="244">
        <f t="shared" si="0"/>
        <v>23.205425245948472</v>
      </c>
    </row>
    <row r="7" spans="1:17" x14ac:dyDescent="0.25">
      <c r="A7" t="s">
        <v>953</v>
      </c>
      <c r="B7" s="129">
        <v>3428.0000000000005</v>
      </c>
      <c r="C7" s="129">
        <v>3292.1779999999999</v>
      </c>
      <c r="D7" s="129">
        <v>3296.444</v>
      </c>
      <c r="E7" s="129">
        <v>3287.2979999999998</v>
      </c>
      <c r="H7" s="150">
        <v>2602.5489471498563</v>
      </c>
      <c r="I7" s="150">
        <v>2602.5489471498563</v>
      </c>
      <c r="J7" s="150">
        <v>2602.5489471498563</v>
      </c>
      <c r="K7" s="150">
        <v>2602.5489471498563</v>
      </c>
      <c r="M7" s="226" t="s">
        <v>953</v>
      </c>
      <c r="N7" s="244">
        <f t="shared" si="1"/>
        <v>-825.45105285014415</v>
      </c>
      <c r="O7" s="244">
        <f t="shared" si="0"/>
        <v>-689.62905285014358</v>
      </c>
      <c r="P7" s="244">
        <f t="shared" si="0"/>
        <v>-693.89505285014366</v>
      </c>
      <c r="Q7" s="244">
        <f t="shared" si="0"/>
        <v>-684.74905285014347</v>
      </c>
    </row>
    <row r="8" spans="1:17" x14ac:dyDescent="0.25">
      <c r="A8" t="s">
        <v>962</v>
      </c>
      <c r="B8" s="129">
        <v>284.76938645300004</v>
      </c>
      <c r="C8" s="129">
        <v>19.655000000000001</v>
      </c>
      <c r="D8" s="129">
        <v>50.44</v>
      </c>
      <c r="E8" s="129">
        <v>35.076000000000001</v>
      </c>
      <c r="H8" s="150">
        <v>529.80654966963039</v>
      </c>
      <c r="I8" s="150">
        <v>529.80654966963039</v>
      </c>
      <c r="J8" s="150">
        <v>529.80654966963039</v>
      </c>
      <c r="K8" s="150">
        <v>529.80654966963039</v>
      </c>
      <c r="M8" s="226" t="s">
        <v>962</v>
      </c>
      <c r="N8" s="244">
        <f t="shared" si="1"/>
        <v>245.03716321663035</v>
      </c>
      <c r="O8" s="244">
        <f t="shared" si="0"/>
        <v>510.15154966963041</v>
      </c>
      <c r="P8" s="244">
        <f t="shared" si="0"/>
        <v>479.36654966963039</v>
      </c>
      <c r="Q8" s="244">
        <f t="shared" si="0"/>
        <v>494.73054966963036</v>
      </c>
    </row>
    <row r="9" spans="1:17" x14ac:dyDescent="0.25">
      <c r="A9" t="s">
        <v>1000</v>
      </c>
      <c r="B9" s="129">
        <v>312.18</v>
      </c>
      <c r="C9" s="129">
        <v>24.472000000000001</v>
      </c>
      <c r="D9" s="129">
        <v>17.218</v>
      </c>
      <c r="E9" s="129">
        <v>0</v>
      </c>
      <c r="H9" s="150">
        <v>83.003838800321319</v>
      </c>
      <c r="I9" s="150">
        <v>83.003838800321319</v>
      </c>
      <c r="J9" s="150">
        <v>83.003838800321319</v>
      </c>
      <c r="K9" s="150">
        <v>83.003838800321319</v>
      </c>
      <c r="M9" s="226" t="s">
        <v>1000</v>
      </c>
      <c r="N9" s="244">
        <f t="shared" si="1"/>
        <v>-229.17616119967869</v>
      </c>
      <c r="O9" s="244">
        <f t="shared" si="0"/>
        <v>58.531838800321317</v>
      </c>
      <c r="P9" s="244">
        <f t="shared" si="0"/>
        <v>65.785838800321315</v>
      </c>
      <c r="Q9" s="244">
        <f t="shared" si="0"/>
        <v>83.003838800321319</v>
      </c>
    </row>
    <row r="10" spans="1:17" x14ac:dyDescent="0.25">
      <c r="A10" t="s">
        <v>1007</v>
      </c>
      <c r="B10" s="129">
        <v>1631.4687052639999</v>
      </c>
      <c r="C10" s="129">
        <v>1018.19047812</v>
      </c>
      <c r="D10" s="129">
        <v>576.04066815599992</v>
      </c>
      <c r="E10" s="129">
        <v>330.40496815600005</v>
      </c>
      <c r="H10" s="150">
        <v>2224.5763712116041</v>
      </c>
      <c r="I10" s="150">
        <v>2224.5763712116041</v>
      </c>
      <c r="J10" s="150">
        <v>2224.5763712116041</v>
      </c>
      <c r="K10" s="150">
        <v>2224.5763712116041</v>
      </c>
      <c r="M10" s="226" t="s">
        <v>1007</v>
      </c>
      <c r="N10" s="244">
        <f t="shared" si="1"/>
        <v>593.10766594760412</v>
      </c>
      <c r="O10" s="244">
        <f>I10-C10</f>
        <v>1206.385893091604</v>
      </c>
      <c r="P10" s="244">
        <f t="shared" si="0"/>
        <v>1648.5357030556042</v>
      </c>
      <c r="Q10" s="244">
        <f t="shared" si="0"/>
        <v>1894.1714030556041</v>
      </c>
    </row>
    <row r="11" spans="1:17" x14ac:dyDescent="0.25">
      <c r="A11" t="s">
        <v>1088</v>
      </c>
      <c r="B11" s="129">
        <v>5.9260000000000002</v>
      </c>
      <c r="C11" s="129">
        <v>0</v>
      </c>
      <c r="D11" s="129">
        <v>0</v>
      </c>
      <c r="E11" s="129">
        <v>0</v>
      </c>
      <c r="H11" s="150">
        <v>4.7837630004469229</v>
      </c>
      <c r="I11" s="150">
        <v>4.7837630004469229</v>
      </c>
      <c r="J11" s="150">
        <v>4.7837630004469229</v>
      </c>
      <c r="K11" s="150">
        <v>4.7837630004469229</v>
      </c>
      <c r="M11" s="226" t="s">
        <v>1088</v>
      </c>
      <c r="N11" s="244">
        <f t="shared" si="1"/>
        <v>-1.1422369995530772</v>
      </c>
      <c r="O11" s="244">
        <f t="shared" si="0"/>
        <v>4.7837630004469229</v>
      </c>
      <c r="P11" s="244">
        <f t="shared" si="0"/>
        <v>4.7837630004469229</v>
      </c>
      <c r="Q11" s="244">
        <f t="shared" si="0"/>
        <v>4.7837630004469229</v>
      </c>
    </row>
    <row r="12" spans="1:17" x14ac:dyDescent="0.25">
      <c r="A12" t="s">
        <v>1093</v>
      </c>
      <c r="B12" s="129">
        <v>22.454377999999998</v>
      </c>
      <c r="C12" s="129">
        <v>2</v>
      </c>
      <c r="D12" s="129">
        <v>1.6890000000000001</v>
      </c>
      <c r="E12" s="129">
        <v>1.2</v>
      </c>
      <c r="H12" s="150">
        <v>60</v>
      </c>
      <c r="I12" s="150">
        <v>22.453378000000001</v>
      </c>
      <c r="J12" s="150">
        <v>22.453378000000001</v>
      </c>
      <c r="K12" s="150">
        <v>22.453378000000001</v>
      </c>
      <c r="M12" s="226" t="s">
        <v>1093</v>
      </c>
      <c r="N12" s="244">
        <f t="shared" si="1"/>
        <v>37.545622000000002</v>
      </c>
      <c r="O12" s="244">
        <f t="shared" si="0"/>
        <v>20.453378000000001</v>
      </c>
      <c r="P12" s="244">
        <f t="shared" si="0"/>
        <v>20.764378000000001</v>
      </c>
      <c r="Q12" s="244">
        <f t="shared" si="0"/>
        <v>21.253378000000001</v>
      </c>
    </row>
    <row r="13" spans="1:17" x14ac:dyDescent="0.25">
      <c r="A13" t="s">
        <v>1095</v>
      </c>
      <c r="B13" s="129">
        <v>75.740000000000009</v>
      </c>
      <c r="C13" s="129">
        <v>241.71</v>
      </c>
      <c r="D13" s="129">
        <v>241.71</v>
      </c>
      <c r="E13" s="129">
        <v>247.71</v>
      </c>
      <c r="H13" s="150">
        <v>59.949750999999999</v>
      </c>
      <c r="I13" s="150">
        <v>59.949750999999999</v>
      </c>
      <c r="J13" s="150">
        <v>59.949750999999999</v>
      </c>
      <c r="K13" s="150">
        <v>59.949750999999999</v>
      </c>
      <c r="M13" s="226" t="s">
        <v>1095</v>
      </c>
      <c r="N13" s="244">
        <f t="shared" si="1"/>
        <v>-15.79024900000001</v>
      </c>
      <c r="O13" s="244">
        <f t="shared" si="0"/>
        <v>-181.76024900000002</v>
      </c>
      <c r="P13" s="244">
        <f t="shared" si="0"/>
        <v>-181.76024900000002</v>
      </c>
      <c r="Q13" s="244">
        <f t="shared" si="0"/>
        <v>-187.76024900000002</v>
      </c>
    </row>
    <row r="14" spans="1:17" x14ac:dyDescent="0.25">
      <c r="A14" t="s">
        <v>1107</v>
      </c>
      <c r="B14" s="129">
        <v>8.5</v>
      </c>
      <c r="C14" s="129">
        <v>0</v>
      </c>
      <c r="D14" s="129">
        <v>0</v>
      </c>
      <c r="E14" s="129">
        <v>0</v>
      </c>
      <c r="H14" s="150">
        <v>19.193054948730481</v>
      </c>
      <c r="I14" s="150">
        <v>19.193054948730481</v>
      </c>
      <c r="J14" s="150">
        <v>19.193054948730481</v>
      </c>
      <c r="K14" s="150">
        <v>19.193054948730481</v>
      </c>
      <c r="M14" s="226" t="s">
        <v>1107</v>
      </c>
      <c r="N14" s="244">
        <f t="shared" si="1"/>
        <v>10.693054948730481</v>
      </c>
      <c r="O14" s="244">
        <f t="shared" si="0"/>
        <v>19.193054948730481</v>
      </c>
      <c r="P14" s="244">
        <f t="shared" si="0"/>
        <v>19.193054948730481</v>
      </c>
      <c r="Q14" s="244">
        <f t="shared" si="0"/>
        <v>19.193054948730481</v>
      </c>
    </row>
    <row r="15" spans="1:17" x14ac:dyDescent="0.25">
      <c r="A15" t="s">
        <v>1113</v>
      </c>
      <c r="B15" s="129">
        <v>2396.5078133147549</v>
      </c>
      <c r="C15" s="129">
        <v>2151.9855667592401</v>
      </c>
      <c r="D15" s="129">
        <v>2247.3292536655686</v>
      </c>
      <c r="E15" s="129">
        <v>1932.7986136950028</v>
      </c>
      <c r="H15" s="150">
        <v>48.627132024206681</v>
      </c>
      <c r="I15" s="150">
        <v>48.627132024206681</v>
      </c>
      <c r="J15" s="150">
        <v>48.627132024206681</v>
      </c>
      <c r="K15" s="150">
        <v>48.627132024206681</v>
      </c>
      <c r="M15" s="226" t="s">
        <v>1113</v>
      </c>
      <c r="N15" s="244">
        <f t="shared" si="1"/>
        <v>-2347.8806812905482</v>
      </c>
      <c r="O15" s="244">
        <f t="shared" si="0"/>
        <v>-2103.3584347350334</v>
      </c>
      <c r="P15" s="244">
        <f t="shared" si="0"/>
        <v>-2198.7021216413618</v>
      </c>
      <c r="Q15" s="244">
        <f t="shared" si="0"/>
        <v>-1884.1714816707961</v>
      </c>
    </row>
    <row r="16" spans="1:17" x14ac:dyDescent="0.25">
      <c r="A16" t="s">
        <v>1238</v>
      </c>
      <c r="B16" s="129">
        <v>21</v>
      </c>
      <c r="C16" s="129">
        <v>5</v>
      </c>
      <c r="D16" s="129">
        <v>0</v>
      </c>
      <c r="E16" s="129">
        <v>0</v>
      </c>
      <c r="H16" s="150">
        <v>232.83648651506999</v>
      </c>
      <c r="I16" s="150">
        <v>232.83648651506999</v>
      </c>
      <c r="J16" s="150">
        <v>232.83648651506999</v>
      </c>
      <c r="K16" s="150">
        <v>232.83648651506999</v>
      </c>
      <c r="M16" s="226" t="s">
        <v>1238</v>
      </c>
      <c r="N16" s="244">
        <f t="shared" si="1"/>
        <v>211.83648651506999</v>
      </c>
      <c r="O16" s="244">
        <f t="shared" si="0"/>
        <v>227.83648651506999</v>
      </c>
      <c r="P16" s="244">
        <f>J16-D16</f>
        <v>232.83648651506999</v>
      </c>
      <c r="Q16" s="244">
        <f t="shared" si="0"/>
        <v>232.83648651506999</v>
      </c>
    </row>
    <row r="17" spans="1:17" x14ac:dyDescent="0.25">
      <c r="A17" t="s">
        <v>1251</v>
      </c>
      <c r="B17" s="129">
        <v>411.92021099999988</v>
      </c>
      <c r="C17" s="129">
        <v>134.13999999999999</v>
      </c>
      <c r="D17" s="129">
        <v>6</v>
      </c>
      <c r="E17" s="129">
        <v>6</v>
      </c>
      <c r="H17" s="150">
        <v>338.91203124399999</v>
      </c>
      <c r="I17" s="150">
        <v>338.91203124399999</v>
      </c>
      <c r="J17" s="150">
        <v>338.91203124399999</v>
      </c>
      <c r="K17" s="150">
        <v>338.91203124399999</v>
      </c>
      <c r="M17" s="226" t="s">
        <v>1251</v>
      </c>
      <c r="N17" s="244">
        <f t="shared" si="1"/>
        <v>-73.00817975599989</v>
      </c>
      <c r="O17" s="244">
        <f t="shared" si="0"/>
        <v>204.772031244</v>
      </c>
      <c r="P17" s="244">
        <f t="shared" si="0"/>
        <v>332.91203124399999</v>
      </c>
      <c r="Q17" s="244">
        <f t="shared" si="0"/>
        <v>332.91203124399999</v>
      </c>
    </row>
    <row r="18" spans="1:17" x14ac:dyDescent="0.25">
      <c r="A18" t="s">
        <v>1493</v>
      </c>
      <c r="B18" s="129">
        <v>2.9</v>
      </c>
      <c r="C18" s="129">
        <v>3.48</v>
      </c>
      <c r="D18" s="129">
        <v>0</v>
      </c>
      <c r="E18" s="129">
        <v>0</v>
      </c>
      <c r="H18" s="150">
        <v>48.236362642067888</v>
      </c>
      <c r="I18" s="150">
        <v>48.236362642067888</v>
      </c>
      <c r="J18" s="150">
        <v>48.236362642067903</v>
      </c>
      <c r="K18" s="150">
        <v>48.236362642067903</v>
      </c>
      <c r="M18" s="226" t="s">
        <v>1493</v>
      </c>
      <c r="N18" s="244">
        <f t="shared" si="1"/>
        <v>45.33636264206789</v>
      </c>
      <c r="O18" s="244">
        <f t="shared" si="0"/>
        <v>44.756362642067891</v>
      </c>
      <c r="P18" s="244">
        <f t="shared" si="0"/>
        <v>48.236362642067903</v>
      </c>
      <c r="Q18" s="244">
        <f t="shared" si="0"/>
        <v>48.236362642067903</v>
      </c>
    </row>
    <row r="19" spans="1:17" x14ac:dyDescent="0.25">
      <c r="A19" t="s">
        <v>1267</v>
      </c>
      <c r="B19" s="129">
        <v>45.58</v>
      </c>
      <c r="C19" s="129">
        <v>43.55</v>
      </c>
      <c r="D19" s="129">
        <v>49.239999999999995</v>
      </c>
      <c r="E19" s="129">
        <v>44.03</v>
      </c>
      <c r="H19" s="150">
        <v>16.296271384689621</v>
      </c>
      <c r="I19" s="150">
        <v>16.296271384689621</v>
      </c>
      <c r="J19" s="150">
        <v>16.296271384689621</v>
      </c>
      <c r="K19" s="150">
        <v>16.296271384689621</v>
      </c>
      <c r="M19" s="226" t="s">
        <v>1267</v>
      </c>
      <c r="N19" s="244">
        <f t="shared" si="1"/>
        <v>-29.283728615310377</v>
      </c>
      <c r="O19" s="244">
        <f t="shared" si="0"/>
        <v>-27.253728615310376</v>
      </c>
      <c r="P19" s="244">
        <f t="shared" ref="P19:P20" si="2">J19-D19</f>
        <v>-32.943728615310377</v>
      </c>
      <c r="Q19" s="244">
        <f t="shared" ref="Q19:Q20" si="3">K19-E19</f>
        <v>-27.73372861531038</v>
      </c>
    </row>
    <row r="20" spans="1:17" x14ac:dyDescent="0.25">
      <c r="A20" t="s">
        <v>1272</v>
      </c>
      <c r="B20" s="129">
        <v>418.75772754511047</v>
      </c>
      <c r="C20" s="129">
        <v>676.55013521599994</v>
      </c>
      <c r="D20" s="129">
        <v>560.18220562349995</v>
      </c>
      <c r="E20" s="129">
        <v>214.84991713299996</v>
      </c>
      <c r="H20" s="150">
        <v>404.89298109864274</v>
      </c>
      <c r="I20" s="150">
        <v>404.89298109864274</v>
      </c>
      <c r="J20" s="150">
        <v>404.89298109864274</v>
      </c>
      <c r="K20" s="150">
        <v>404.89298109864274</v>
      </c>
      <c r="M20" s="226" t="s">
        <v>1272</v>
      </c>
      <c r="N20" s="244">
        <f t="shared" si="1"/>
        <v>-13.864746446467734</v>
      </c>
      <c r="O20" s="244">
        <f t="shared" si="1"/>
        <v>-271.65715411735721</v>
      </c>
      <c r="P20" s="244">
        <f t="shared" si="2"/>
        <v>-155.28922452485722</v>
      </c>
      <c r="Q20" s="244">
        <f t="shared" si="3"/>
        <v>190.04306396564277</v>
      </c>
    </row>
    <row r="21" spans="1:17" x14ac:dyDescent="0.25">
      <c r="A21" s="168"/>
      <c r="B21" s="169">
        <f>SUM(B3:B20)</f>
        <v>9528.9915095588676</v>
      </c>
      <c r="C21" s="169">
        <f t="shared" ref="C21:E21" si="4">SUM(C3:C20)</f>
        <v>7840.9571800952399</v>
      </c>
      <c r="D21" s="169">
        <f t="shared" si="4"/>
        <v>7202.1411274450675</v>
      </c>
      <c r="E21" s="169">
        <f t="shared" si="4"/>
        <v>6253.9154989840026</v>
      </c>
      <c r="H21" s="150">
        <v>9410.016388921882</v>
      </c>
      <c r="I21" s="150">
        <v>7284.0968989460871</v>
      </c>
      <c r="J21" s="150">
        <v>7284.096898946088</v>
      </c>
      <c r="K21" s="150">
        <v>7284.096898946088</v>
      </c>
      <c r="M21" s="226" t="s">
        <v>1928</v>
      </c>
      <c r="N21" s="245">
        <f>SUM(N3:N20)</f>
        <v>-2207.3479886127798</v>
      </c>
      <c r="O21" s="245">
        <f t="shared" ref="O21:Q21" si="5">SUM(O3:O20)</f>
        <v>-556.86028114915393</v>
      </c>
      <c r="P21" s="245">
        <f t="shared" si="5"/>
        <v>81.955771501017921</v>
      </c>
      <c r="Q21" s="245">
        <f t="shared" si="5"/>
        <v>1030.1813999620836</v>
      </c>
    </row>
    <row r="24" spans="1:17" x14ac:dyDescent="0.25">
      <c r="B24" s="150"/>
      <c r="C24" s="150"/>
      <c r="D24" s="150"/>
      <c r="E24" s="150"/>
      <c r="F24" s="150"/>
    </row>
    <row r="25" spans="1:17" x14ac:dyDescent="0.25">
      <c r="B25" s="150"/>
      <c r="C25" s="150"/>
      <c r="D25" s="150"/>
      <c r="E25" s="150"/>
      <c r="F25" s="150"/>
    </row>
    <row r="26" spans="1:17" x14ac:dyDescent="0.25">
      <c r="B26" s="150"/>
      <c r="C26" s="150"/>
      <c r="D26" s="150"/>
      <c r="E26" s="150"/>
      <c r="F26" s="150"/>
    </row>
    <row r="27" spans="1:17" x14ac:dyDescent="0.25">
      <c r="B27" s="150"/>
      <c r="C27" s="150"/>
      <c r="D27" s="150"/>
      <c r="E27" s="150"/>
      <c r="F27" s="150"/>
    </row>
    <row r="28" spans="1:17" x14ac:dyDescent="0.25">
      <c r="B28" s="150"/>
      <c r="C28" s="150"/>
      <c r="D28" s="150"/>
      <c r="E28" s="150"/>
      <c r="F28" s="150"/>
    </row>
    <row r="29" spans="1:17" x14ac:dyDescent="0.25">
      <c r="B29" s="150"/>
      <c r="C29" s="150"/>
      <c r="D29" s="150"/>
      <c r="E29" s="150"/>
      <c r="F29" s="150"/>
    </row>
    <row r="30" spans="1:17" x14ac:dyDescent="0.25">
      <c r="B30" s="150"/>
      <c r="C30" s="150"/>
      <c r="D30" s="150"/>
      <c r="E30" s="150"/>
      <c r="F30" s="150"/>
    </row>
    <row r="31" spans="1:17" x14ac:dyDescent="0.25">
      <c r="B31" s="150"/>
      <c r="C31" s="150"/>
      <c r="D31" s="150"/>
      <c r="E31" s="150"/>
      <c r="F31" s="150"/>
    </row>
    <row r="32" spans="1:17" x14ac:dyDescent="0.25">
      <c r="B32" s="150"/>
      <c r="C32" s="150"/>
      <c r="D32" s="150"/>
      <c r="E32" s="150"/>
      <c r="F32" s="150"/>
    </row>
    <row r="33" spans="2:6" x14ac:dyDescent="0.25">
      <c r="B33" s="150"/>
      <c r="C33" s="150"/>
      <c r="D33" s="150"/>
      <c r="E33" s="150"/>
      <c r="F33" s="150"/>
    </row>
    <row r="34" spans="2:6" x14ac:dyDescent="0.25">
      <c r="B34" s="150"/>
      <c r="C34" s="150"/>
      <c r="D34" s="150"/>
      <c r="E34" s="150"/>
      <c r="F34" s="150"/>
    </row>
    <row r="35" spans="2:6" x14ac:dyDescent="0.25">
      <c r="B35" s="150"/>
      <c r="C35" s="150"/>
      <c r="D35" s="150"/>
      <c r="E35" s="150"/>
      <c r="F35" s="150"/>
    </row>
    <row r="36" spans="2:6" x14ac:dyDescent="0.25">
      <c r="B36" s="150"/>
      <c r="C36" s="150"/>
      <c r="D36" s="150"/>
      <c r="E36" s="150"/>
      <c r="F36" s="150"/>
    </row>
    <row r="37" spans="2:6" x14ac:dyDescent="0.25">
      <c r="B37" s="150"/>
      <c r="C37" s="150"/>
      <c r="D37" s="150"/>
      <c r="E37" s="150"/>
      <c r="F37" s="150"/>
    </row>
    <row r="38" spans="2:6" x14ac:dyDescent="0.25">
      <c r="B38" s="150"/>
      <c r="C38" s="150"/>
      <c r="D38" s="150"/>
      <c r="E38" s="150"/>
      <c r="F38" s="150"/>
    </row>
    <row r="39" spans="2:6" x14ac:dyDescent="0.25">
      <c r="B39" s="150"/>
      <c r="C39" s="150"/>
      <c r="D39" s="150"/>
      <c r="E39" s="150"/>
      <c r="F39" s="150"/>
    </row>
    <row r="40" spans="2:6" x14ac:dyDescent="0.25">
      <c r="B40" s="150"/>
      <c r="C40" s="150"/>
      <c r="D40" s="150"/>
      <c r="E40" s="150"/>
      <c r="F40" s="150"/>
    </row>
    <row r="41" spans="2:6" x14ac:dyDescent="0.25">
      <c r="B41" s="150"/>
      <c r="C41" s="150"/>
      <c r="D41" s="150"/>
      <c r="E41" s="150"/>
      <c r="F41" s="15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375"/>
  <sheetViews>
    <sheetView tabSelected="1" zoomScaleNormal="100" workbookViewId="0">
      <pane xSplit="7" ySplit="3" topLeftCell="H269" activePane="bottomRight" state="frozen"/>
      <selection pane="topRight" activeCell="H1" sqref="H1"/>
      <selection pane="bottomLeft" activeCell="A4" sqref="A4"/>
      <selection pane="bottomRight" activeCell="AB375" activeCellId="2" sqref="V375 Y375 AB375"/>
    </sheetView>
  </sheetViews>
  <sheetFormatPr defaultColWidth="9.140625" defaultRowHeight="15" x14ac:dyDescent="0.25"/>
  <cols>
    <col min="1" max="1" width="4.42578125" style="239" customWidth="1"/>
    <col min="2" max="2" width="16.140625" style="239" customWidth="1"/>
    <col min="3" max="3" width="10.5703125" style="239" hidden="1" customWidth="1"/>
    <col min="4" max="4" width="10.5703125" style="239" customWidth="1"/>
    <col min="5" max="5" width="9.42578125" style="239" bestFit="1" customWidth="1"/>
    <col min="6" max="6" width="27.28515625" style="239" hidden="1" customWidth="1"/>
    <col min="7" max="8" width="10" style="239" customWidth="1"/>
    <col min="9" max="9" width="32.85546875" style="239" customWidth="1"/>
    <col min="10" max="10" width="10.85546875" style="239" hidden="1" customWidth="1"/>
    <col min="11" max="11" width="24.7109375" style="239" hidden="1" customWidth="1"/>
    <col min="12" max="12" width="9.140625" style="239" hidden="1" customWidth="1"/>
    <col min="13" max="13" width="15.85546875" style="240" hidden="1" customWidth="1"/>
    <col min="14" max="14" width="13" style="240" hidden="1" customWidth="1"/>
    <col min="15" max="15" width="11.5703125" style="241" bestFit="1" customWidth="1"/>
    <col min="16" max="16" width="14" style="241" customWidth="1"/>
    <col min="17" max="17" width="13.140625" style="241" bestFit="1" customWidth="1"/>
    <col min="18" max="18" width="17.140625" style="241" bestFit="1" customWidth="1"/>
    <col min="19" max="19" width="12.42578125" style="239" customWidth="1"/>
    <col min="20" max="20" width="15.42578125" style="239" customWidth="1"/>
    <col min="21" max="21" width="18.28515625" style="239" bestFit="1" customWidth="1"/>
    <col min="22" max="22" width="12.42578125" style="239" customWidth="1"/>
    <col min="23" max="23" width="15.42578125" style="239" customWidth="1"/>
    <col min="24" max="24" width="12.42578125" style="239" customWidth="1"/>
    <col min="25" max="25" width="12.42578125" style="242" customWidth="1"/>
    <col min="26" max="26" width="15.42578125" style="242" customWidth="1"/>
    <col min="27" max="28" width="12.42578125" style="242" customWidth="1"/>
    <col min="29" max="29" width="15.42578125" style="242" customWidth="1"/>
    <col min="30" max="30" width="12.42578125" style="242" customWidth="1"/>
    <col min="31" max="16384" width="9.140625" style="175"/>
  </cols>
  <sheetData>
    <row r="1" spans="1:30" ht="20.25" x14ac:dyDescent="0.25">
      <c r="A1" s="171" t="s">
        <v>1680</v>
      </c>
      <c r="B1" s="171"/>
      <c r="C1" s="171"/>
      <c r="D1" s="171"/>
      <c r="E1" s="171"/>
      <c r="F1" s="171"/>
      <c r="G1" s="171"/>
      <c r="H1" s="171"/>
      <c r="I1" s="171"/>
      <c r="J1" s="171"/>
      <c r="K1" s="171"/>
      <c r="L1" s="172"/>
      <c r="M1" s="173"/>
      <c r="N1" s="173"/>
      <c r="O1" s="174"/>
      <c r="P1" s="174"/>
      <c r="Q1" s="174"/>
      <c r="R1" s="174"/>
      <c r="S1" s="175"/>
      <c r="T1" s="175"/>
      <c r="U1" s="175"/>
      <c r="V1" s="175"/>
      <c r="W1" s="175"/>
      <c r="X1" s="175"/>
      <c r="Y1" s="175"/>
      <c r="Z1" s="175"/>
      <c r="AA1" s="175"/>
      <c r="AB1" s="175"/>
      <c r="AC1" s="175"/>
      <c r="AD1" s="175"/>
    </row>
    <row r="2" spans="1:30" ht="21" x14ac:dyDescent="0.25">
      <c r="A2" s="171"/>
      <c r="B2" s="171"/>
      <c r="C2" s="171"/>
      <c r="D2" s="171"/>
      <c r="E2" s="171"/>
      <c r="F2" s="171"/>
      <c r="G2" s="171"/>
      <c r="H2" s="171"/>
      <c r="I2" s="171"/>
      <c r="J2" s="171"/>
      <c r="K2" s="171"/>
      <c r="L2" s="172"/>
      <c r="M2" s="173"/>
      <c r="N2" s="173"/>
      <c r="O2" s="176" t="s">
        <v>493</v>
      </c>
      <c r="P2" s="176"/>
      <c r="Q2" s="176"/>
      <c r="R2" s="177"/>
      <c r="S2" s="178" t="s">
        <v>494</v>
      </c>
      <c r="T2" s="178"/>
      <c r="U2" s="178"/>
      <c r="V2" s="176" t="s">
        <v>495</v>
      </c>
      <c r="W2" s="176"/>
      <c r="X2" s="176"/>
      <c r="Y2" s="178" t="s">
        <v>496</v>
      </c>
      <c r="Z2" s="178"/>
      <c r="AA2" s="178"/>
      <c r="AB2" s="176" t="s">
        <v>879</v>
      </c>
      <c r="AC2" s="176"/>
      <c r="AD2" s="176"/>
    </row>
    <row r="3" spans="1:30" s="179" customFormat="1" ht="42.75" x14ac:dyDescent="0.25">
      <c r="A3" s="60" t="s">
        <v>880</v>
      </c>
      <c r="B3" s="60" t="s">
        <v>1492</v>
      </c>
      <c r="C3" s="60" t="s">
        <v>1491</v>
      </c>
      <c r="D3" s="60" t="s">
        <v>1497</v>
      </c>
      <c r="E3" s="60" t="s">
        <v>881</v>
      </c>
      <c r="F3" s="61" t="s">
        <v>882</v>
      </c>
      <c r="G3" s="60" t="s">
        <v>883</v>
      </c>
      <c r="H3" s="60" t="s">
        <v>1711</v>
      </c>
      <c r="I3" s="60" t="s">
        <v>886</v>
      </c>
      <c r="J3" s="60" t="s">
        <v>884</v>
      </c>
      <c r="K3" s="61" t="s">
        <v>885</v>
      </c>
      <c r="L3" s="136" t="s">
        <v>1498</v>
      </c>
      <c r="M3" s="4" t="s">
        <v>497</v>
      </c>
      <c r="N3" s="4" t="s">
        <v>498</v>
      </c>
      <c r="O3" s="62" t="s">
        <v>499</v>
      </c>
      <c r="P3" s="62" t="s">
        <v>500</v>
      </c>
      <c r="Q3" s="62" t="s">
        <v>501</v>
      </c>
      <c r="R3" s="62" t="s">
        <v>1499</v>
      </c>
      <c r="S3" s="63" t="s">
        <v>502</v>
      </c>
      <c r="T3" s="63" t="s">
        <v>503</v>
      </c>
      <c r="U3" s="63" t="s">
        <v>504</v>
      </c>
      <c r="V3" s="64" t="s">
        <v>505</v>
      </c>
      <c r="W3" s="64" t="s">
        <v>506</v>
      </c>
      <c r="X3" s="64" t="s">
        <v>507</v>
      </c>
      <c r="Y3" s="63" t="s">
        <v>508</v>
      </c>
      <c r="Z3" s="63" t="s">
        <v>509</v>
      </c>
      <c r="AA3" s="63" t="s">
        <v>510</v>
      </c>
      <c r="AB3" s="64" t="s">
        <v>887</v>
      </c>
      <c r="AC3" s="64" t="s">
        <v>888</v>
      </c>
      <c r="AD3" s="64" t="s">
        <v>889</v>
      </c>
    </row>
    <row r="4" spans="1:30" s="181" customFormat="1" ht="15" customHeight="1" x14ac:dyDescent="0.25">
      <c r="A4" s="180" t="s">
        <v>810</v>
      </c>
      <c r="B4" s="181" t="s">
        <v>76</v>
      </c>
      <c r="C4" s="181" t="e">
        <f ca="1">PAProjects[[#This Row],[LINKING_CODE]]=_xlfn.CONCAT(PAProjects[[#This Row],[Project Code]]," ",PAProjects[[#This Row],[Project Name]])</f>
        <v>#NAME?</v>
      </c>
      <c r="D4" s="181" t="str">
        <f>VLOOKUP(PAProjects[[#This Row],[LINKING_CODE]],MasterTable[[Project Code and Name ]],1,FALSE)</f>
        <v>0220 Global Fund for AIDS, TB and Malaria</v>
      </c>
      <c r="E4" s="181" t="s">
        <v>520</v>
      </c>
      <c r="F4" s="181" t="s">
        <v>975</v>
      </c>
      <c r="G4" s="181" t="s">
        <v>97</v>
      </c>
      <c r="H4" s="181" t="str">
        <f>VLOOKUP(I4,'Program Codes'!C:D,2,FALSE)</f>
        <v>06</v>
      </c>
      <c r="I4" s="181" t="s">
        <v>962</v>
      </c>
      <c r="J4" s="181" t="s">
        <v>697</v>
      </c>
      <c r="K4" s="181" t="s">
        <v>698</v>
      </c>
      <c r="L4" s="181" t="s">
        <v>1509</v>
      </c>
      <c r="M4" s="182">
        <v>40360</v>
      </c>
      <c r="N4" s="182">
        <v>44742</v>
      </c>
      <c r="O4" s="183">
        <v>13.5</v>
      </c>
      <c r="P4" s="184">
        <v>713.71500000000003</v>
      </c>
      <c r="Q4" s="185">
        <f>SUM(O4:P4)</f>
        <v>727.21500000000003</v>
      </c>
      <c r="R4" s="185">
        <v>0.154498413</v>
      </c>
      <c r="S4" s="186">
        <v>11.305</v>
      </c>
      <c r="T4" s="187">
        <v>703.03</v>
      </c>
      <c r="U4" s="187">
        <f>PAProjects[[#This Row],[GOU 21/22]]+PAProjects[[#This Row],[DONOR 21/22]]</f>
        <v>714.33499999999992</v>
      </c>
      <c r="V4" s="187">
        <f>SUMIFS(MasterTable[FY1 (FY22-23)],MasterTable[[Project Code and Name ]],PAProjects[[#This Row],[LINKING_CODE]],MasterTable[Funding Source],"GoU Funded")/10^9</f>
        <v>0</v>
      </c>
      <c r="W4" s="187">
        <f>SUMIFS(MasterTable[FY1 (FY22-23)],MasterTable[[Project Code and Name ]],PAProjects[[#This Row],[LINKING_CODE]],MasterTable[Funding Source],"External Financing")/10^9</f>
        <v>0</v>
      </c>
      <c r="X4" s="187">
        <f>PAProjects[[#This Row],[GOU 22/23]]+PAProjects[[#This Row],[DONOR 22/23]]</f>
        <v>0</v>
      </c>
      <c r="Y4" s="187">
        <f>SUMIFS(MasterTable[FY2 (FY23-24)],MasterTable[[Project Code and Name ]],PAProjects[[#This Row],[LINKING_CODE]],MasterTable[Funding Source],"GoU Funded")/10^9</f>
        <v>0</v>
      </c>
      <c r="Z4" s="187">
        <f>SUMIFS(MasterTable[FY2 (FY23-24)],MasterTable[[Project Code and Name ]],PAProjects[[#This Row],[LINKING_CODE]],MasterTable[Funding Source],"External Financing")/10^9</f>
        <v>0</v>
      </c>
      <c r="AA4" s="181">
        <f>Y4+Z4</f>
        <v>0</v>
      </c>
      <c r="AB4" s="187">
        <f>SUMIFS(MasterTable[FY3 (FY24-25)],MasterTable[[Project Code and Name ]],PAProjects[[#This Row],[LINKING_CODE]],MasterTable[Funding Source],"GoU Funded")/10^9</f>
        <v>0</v>
      </c>
      <c r="AC4" s="187">
        <f>SUMIFS(MasterTable[FY3 (FY24-25)],MasterTable[[Project Code and Name ]],PAProjects[[#This Row],[LINKING_CODE]],MasterTable[Funding Source],"External Financing")/10^9</f>
        <v>0</v>
      </c>
      <c r="AD4" s="187">
        <f>PAProjects[[#This Row],[GOU 24/25]]+PAProjects[[#This Row],[DONOR 24/25]]</f>
        <v>0</v>
      </c>
    </row>
    <row r="5" spans="1:30" ht="15" customHeight="1" x14ac:dyDescent="0.25">
      <c r="A5" s="180" t="s">
        <v>813</v>
      </c>
      <c r="B5" s="175" t="s">
        <v>384</v>
      </c>
      <c r="C5" s="175" t="e">
        <f ca="1">PAProjects[[#This Row],[LINKING_CODE]]=_xlfn.CONCAT(PAProjects[[#This Row],[Project Code]]," ",PAProjects[[#This Row],[Project Name]])</f>
        <v>#NAME?</v>
      </c>
      <c r="D5" s="175" t="str">
        <f>VLOOKUP(PAProjects[[#This Row],[LINKING_CODE]],MasterTable[[Project Code and Name ]],1,FALSE)</f>
        <v>0265 Upgrade Atiak - Moyo-Afoji (104km)</v>
      </c>
      <c r="E5" s="175" t="s">
        <v>515</v>
      </c>
      <c r="F5" s="175" t="s">
        <v>944</v>
      </c>
      <c r="G5" s="175" t="s">
        <v>113</v>
      </c>
      <c r="H5" s="175" t="str">
        <f>VLOOKUP(I5,'Program Codes'!C:D,2,FALSE)</f>
        <v>08</v>
      </c>
      <c r="I5" s="175" t="s">
        <v>1007</v>
      </c>
      <c r="J5" s="175" t="s">
        <v>591</v>
      </c>
      <c r="K5" s="175" t="s">
        <v>592</v>
      </c>
      <c r="L5" s="175" t="s">
        <v>1509</v>
      </c>
      <c r="M5" s="188">
        <v>40543</v>
      </c>
      <c r="N5" s="182">
        <v>45473</v>
      </c>
      <c r="O5" s="174"/>
      <c r="P5" s="174">
        <v>226.34200000000001</v>
      </c>
      <c r="Q5" s="174">
        <f>SUM(P5:P5)</f>
        <v>226.34200000000001</v>
      </c>
      <c r="R5" s="189">
        <v>1.5425524580000001</v>
      </c>
      <c r="S5" s="190">
        <f>SUMIFS(MasterTable[Arrears + All Contractual Commitments (value next FY)],MasterTable[[Project Code and Name ]],PAProjects[[#This Row],[LINKING_CODE]],MasterTable[Funding Source],"GoU Funded")/10^9</f>
        <v>17.274120109999998</v>
      </c>
      <c r="T5" s="190">
        <f>SUMIFS(MasterTable[Arrears + All Contractual Commitments (value next FY)],MasterTable[[Project Code and Name ]],PAProjects[[#This Row],[LINKING_CODE]],MasterTable[Funding Source],"External Financing")/10^9</f>
        <v>87</v>
      </c>
      <c r="U5" s="191">
        <f>PAProjects[[#This Row],[GOU 21/22]]+PAProjects[[#This Row],[DONOR 21/22]]</f>
        <v>104.27412011</v>
      </c>
      <c r="V5" s="192">
        <f>SUMIFS(MasterTable[FY1 (FY22-23)],MasterTable[[Project Code and Name ]],PAProjects[[#This Row],[LINKING_CODE]],MasterTable[Funding Source],"GoU Funded")/10^9</f>
        <v>7.4498918080000003</v>
      </c>
      <c r="W5" s="193">
        <f>SUMIFS(MasterTable[FY1 (FY22-23)],MasterTable[[Project Code and Name ]],PAProjects[[#This Row],[LINKING_CODE]],MasterTable[Funding Source],"External Financing")/10^9</f>
        <v>41.2</v>
      </c>
      <c r="X5" s="191">
        <f>PAProjects[[#This Row],[GOU 22/23]]+PAProjects[[#This Row],[DONOR 22/23]]</f>
        <v>48.649891808000007</v>
      </c>
      <c r="Y5" s="193">
        <f>SUMIFS(MasterTable[FY2 (FY23-24)],MasterTable[[Project Code and Name ]],PAProjects[[#This Row],[LINKING_CODE]],MasterTable[Funding Source],"GoU Funded")/10^9</f>
        <v>5.0999999999999996</v>
      </c>
      <c r="Z5" s="193">
        <f>SUMIFS(MasterTable[FY2 (FY23-24)],MasterTable[[Project Code and Name ]],PAProjects[[#This Row],[LINKING_CODE]],MasterTable[Funding Source],"External Financing")/10^9</f>
        <v>28.23</v>
      </c>
      <c r="AA5" s="194">
        <f>Y5+Z5</f>
        <v>33.33</v>
      </c>
      <c r="AB5" s="193">
        <f>SUMIFS(MasterTable[FY3 (FY24-25)],MasterTable[[Project Code and Name ]],PAProjects[[#This Row],[LINKING_CODE]],MasterTable[Funding Source],"GoU Funded")/10^9</f>
        <v>0</v>
      </c>
      <c r="AC5" s="193">
        <f>SUMIFS(MasterTable[FY3 (FY24-25)],MasterTable[[Project Code and Name ]],PAProjects[[#This Row],[LINKING_CODE]],MasterTable[Funding Source],"External Financing")/10^9</f>
        <v>0</v>
      </c>
      <c r="AD5" s="191">
        <f>PAProjects[[#This Row],[GOU 24/25]]+PAProjects[[#This Row],[DONOR 24/25]]</f>
        <v>0</v>
      </c>
    </row>
    <row r="6" spans="1:30" ht="15" customHeight="1" x14ac:dyDescent="0.25">
      <c r="A6" s="180" t="s">
        <v>815</v>
      </c>
      <c r="B6" s="175" t="s">
        <v>385</v>
      </c>
      <c r="C6" s="175" t="e">
        <f ca="1">PAProjects[[#This Row],[LINKING_CODE]]=_xlfn.CONCAT(PAProjects[[#This Row],[Project Code]]," ",PAProjects[[#This Row],[Project Name]])</f>
        <v>#NAME?</v>
      </c>
      <c r="D6" s="175" t="str">
        <f>VLOOKUP(PAProjects[[#This Row],[LINKING_CODE]],MasterTable[[Project Code and Name ]],1,FALSE)</f>
        <v>0267 Improvement of Ferry Services</v>
      </c>
      <c r="E6" s="175" t="s">
        <v>515</v>
      </c>
      <c r="F6" s="175" t="s">
        <v>944</v>
      </c>
      <c r="G6" s="175" t="s">
        <v>113</v>
      </c>
      <c r="H6" s="175" t="str">
        <f>VLOOKUP(I6,'Program Codes'!C:D,2,FALSE)</f>
        <v>08</v>
      </c>
      <c r="I6" s="175" t="s">
        <v>1007</v>
      </c>
      <c r="J6" s="175" t="s">
        <v>606</v>
      </c>
      <c r="K6" s="175" t="s">
        <v>1028</v>
      </c>
      <c r="L6" s="175" t="s">
        <v>1509</v>
      </c>
      <c r="M6" s="188">
        <v>40543</v>
      </c>
      <c r="N6" s="182">
        <v>45473</v>
      </c>
      <c r="O6" s="174">
        <v>50</v>
      </c>
      <c r="P6" s="174"/>
      <c r="Q6" s="174">
        <f t="shared" ref="Q6:Q37" si="0">SUM(O6:P6)</f>
        <v>50</v>
      </c>
      <c r="R6" s="189">
        <v>16.805923879000002</v>
      </c>
      <c r="S6" s="190">
        <f>SUMIFS(MasterTable[Arrears + All Contractual Commitments (value next FY)],MasterTable[[Project Code and Name ]],PAProjects[[#This Row],[LINKING_CODE]],MasterTable[Funding Source],"GoU Funded")/10^9</f>
        <v>108.50592387899999</v>
      </c>
      <c r="T6" s="190">
        <f>SUMIFS(MasterTable[Arrears + All Contractual Commitments (value next FY)],MasterTable[[Project Code and Name ]],PAProjects[[#This Row],[LINKING_CODE]],MasterTable[Funding Source],"External Financing")/10^9</f>
        <v>0</v>
      </c>
      <c r="U6" s="191">
        <f>PAProjects[[#This Row],[GOU 21/22]]+PAProjects[[#This Row],[DONOR 21/22]]</f>
        <v>108.50592387899999</v>
      </c>
      <c r="V6" s="192">
        <f>SUMIFS(MasterTable[FY1 (FY22-23)],MasterTable[[Project Code and Name ]],PAProjects[[#This Row],[LINKING_CODE]],MasterTable[Funding Source],"GoU Funded")/10^9</f>
        <v>0</v>
      </c>
      <c r="W6" s="193">
        <f>SUMIFS(MasterTable[FY1 (FY22-23)],MasterTable[[Project Code and Name ]],PAProjects[[#This Row],[LINKING_CODE]],MasterTable[Funding Source],"External Financing")/10^9</f>
        <v>0</v>
      </c>
      <c r="X6" s="191">
        <f>PAProjects[[#This Row],[GOU 22/23]]+PAProjects[[#This Row],[DONOR 22/23]]</f>
        <v>0</v>
      </c>
      <c r="Y6" s="193">
        <f>SUMIFS(MasterTable[FY2 (FY23-24)],MasterTable[[Project Code and Name ]],PAProjects[[#This Row],[LINKING_CODE]],MasterTable[Funding Source],"GoU Funded")/10^9</f>
        <v>0</v>
      </c>
      <c r="Z6" s="193">
        <f>SUMIFS(MasterTable[FY2 (FY23-24)],MasterTable[[Project Code and Name ]],PAProjects[[#This Row],[LINKING_CODE]],MasterTable[Funding Source],"External Financing")/10^9</f>
        <v>0</v>
      </c>
      <c r="AA6" s="194">
        <f>Y6+Z6</f>
        <v>0</v>
      </c>
      <c r="AB6" s="193">
        <f>SUMIFS(MasterTable[FY3 (FY24-25)],MasterTable[[Project Code and Name ]],PAProjects[[#This Row],[LINKING_CODE]],MasterTable[Funding Source],"GoU Funded")/10^9</f>
        <v>0</v>
      </c>
      <c r="AC6" s="193">
        <f>SUMIFS(MasterTable[FY3 (FY24-25)],MasterTable[[Project Code and Name ]],PAProjects[[#This Row],[LINKING_CODE]],MasterTable[Funding Source],"External Financing")/10^9</f>
        <v>0</v>
      </c>
      <c r="AD6" s="191">
        <f>PAProjects[[#This Row],[GOU 24/25]]+PAProjects[[#This Row],[DONOR 24/25]]</f>
        <v>0</v>
      </c>
    </row>
    <row r="7" spans="1:30" ht="15" customHeight="1" x14ac:dyDescent="0.25">
      <c r="A7" s="180" t="s">
        <v>817</v>
      </c>
      <c r="B7" s="175" t="s">
        <v>372</v>
      </c>
      <c r="C7" s="175" t="e">
        <f ca="1">PAProjects[[#This Row],[LINKING_CODE]]=_xlfn.CONCAT(PAProjects[[#This Row],[Project Code]]," ",PAProjects[[#This Row],[Project Name]])</f>
        <v>#NAME?</v>
      </c>
      <c r="D7" s="175" t="str">
        <f>VLOOKUP(PAProjects[[#This Row],[LINKING_CODE]],MasterTable[[Project Code and Name ]],1,FALSE)</f>
        <v>0368 Development</v>
      </c>
      <c r="E7" s="175" t="s">
        <v>519</v>
      </c>
      <c r="F7" s="175" t="s">
        <v>960</v>
      </c>
      <c r="G7" s="175" t="s">
        <v>137</v>
      </c>
      <c r="H7" s="175" t="str">
        <f>VLOOKUP(I7,'Program Codes'!C:D,2,FALSE)</f>
        <v>06</v>
      </c>
      <c r="I7" s="175" t="s">
        <v>962</v>
      </c>
      <c r="J7" s="175" t="s">
        <v>667</v>
      </c>
      <c r="K7" s="175" t="s">
        <v>973</v>
      </c>
      <c r="L7" s="175" t="s">
        <v>1509</v>
      </c>
      <c r="M7" s="195">
        <v>42186</v>
      </c>
      <c r="N7" s="195">
        <v>44742</v>
      </c>
      <c r="O7" s="174">
        <v>130</v>
      </c>
      <c r="P7" s="174"/>
      <c r="Q7" s="174">
        <f t="shared" si="0"/>
        <v>130</v>
      </c>
      <c r="R7" s="189">
        <v>5.2886757820000003</v>
      </c>
      <c r="S7" s="190">
        <f>SUMIFS(MasterTable[Arrears + All Contractual Commitments (value next FY)],MasterTable[[Project Code and Name ]],PAProjects[[#This Row],[LINKING_CODE]],MasterTable[Funding Source],"GoU Funded")/10^9</f>
        <v>11.503351564000001</v>
      </c>
      <c r="T7" s="190">
        <f>SUMIFS(MasterTable[Arrears + All Contractual Commitments (value next FY)],MasterTable[[Project Code and Name ]],PAProjects[[#This Row],[LINKING_CODE]],MasterTable[Funding Source],"External Financing")/10^9</f>
        <v>0</v>
      </c>
      <c r="U7" s="191">
        <f>PAProjects[[#This Row],[GOU 21/22]]+PAProjects[[#This Row],[DONOR 21/22]]</f>
        <v>11.503351564000001</v>
      </c>
      <c r="V7" s="192">
        <f>SUMIFS(MasterTable[FY1 (FY22-23)],MasterTable[[Project Code and Name ]],PAProjects[[#This Row],[LINKING_CODE]],MasterTable[Funding Source],"GoU Funded")/10^9</f>
        <v>0</v>
      </c>
      <c r="W7" s="193">
        <f>SUMIFS(MasterTable[FY1 (FY22-23)],MasterTable[[Project Code and Name ]],PAProjects[[#This Row],[LINKING_CODE]],MasterTable[Funding Source],"External Financing")/10^9</f>
        <v>0</v>
      </c>
      <c r="X7" s="191">
        <f>PAProjects[[#This Row],[GOU 22/23]]+PAProjects[[#This Row],[DONOR 22/23]]</f>
        <v>0</v>
      </c>
      <c r="Y7" s="193">
        <f>SUMIFS(MasterTable[FY2 (FY23-24)],MasterTable[[Project Code and Name ]],PAProjects[[#This Row],[LINKING_CODE]],MasterTable[Funding Source],"GoU Funded")/10^9</f>
        <v>0</v>
      </c>
      <c r="Z7" s="193">
        <f>SUMIFS(MasterTable[FY2 (FY23-24)],MasterTable[[Project Code and Name ]],PAProjects[[#This Row],[LINKING_CODE]],MasterTable[Funding Source],"External Financing")/10^9</f>
        <v>0</v>
      </c>
      <c r="AA7" s="175">
        <f>Y7+Z7</f>
        <v>0</v>
      </c>
      <c r="AB7" s="193">
        <f>SUMIFS(MasterTable[FY3 (FY24-25)],MasterTable[[Project Code and Name ]],PAProjects[[#This Row],[LINKING_CODE]],MasterTable[Funding Source],"GoU Funded")/10^9</f>
        <v>0</v>
      </c>
      <c r="AC7" s="193">
        <f>SUMIFS(MasterTable[FY3 (FY24-25)],MasterTable[[Project Code and Name ]],PAProjects[[#This Row],[LINKING_CODE]],MasterTable[Funding Source],"External Financing")/10^9</f>
        <v>0</v>
      </c>
      <c r="AD7" s="191">
        <f>PAProjects[[#This Row],[GOU 24/25]]+PAProjects[[#This Row],[DONOR 24/25]]</f>
        <v>0</v>
      </c>
    </row>
    <row r="8" spans="1:30" ht="15" customHeight="1" x14ac:dyDescent="0.25">
      <c r="A8" s="180" t="s">
        <v>897</v>
      </c>
      <c r="B8" s="175" t="s">
        <v>344</v>
      </c>
      <c r="C8" s="175" t="e">
        <f ca="1">PAProjects[[#This Row],[LINKING_CODE]]=_xlfn.CONCAT(PAProjects[[#This Row],[Project Code]]," ",PAProjects[[#This Row],[Project Name]])</f>
        <v>#NAME?</v>
      </c>
      <c r="D8" s="175" t="str">
        <f>VLOOKUP(PAProjects[[#This Row],[LINKING_CODE]],MasterTable[[Project Code and Name ]],1,FALSE)</f>
        <v>0890 Support to Justice Law and Order Sector</v>
      </c>
      <c r="E8" s="175" t="s">
        <v>527</v>
      </c>
      <c r="F8" s="175" t="s">
        <v>929</v>
      </c>
      <c r="G8" s="175" t="s">
        <v>957</v>
      </c>
      <c r="H8" s="175" t="str">
        <f>VLOOKUP(I8,'Program Codes'!C:D,2,FALSE)</f>
        <v>13</v>
      </c>
      <c r="I8" s="175" t="s">
        <v>1113</v>
      </c>
      <c r="J8" s="175" t="s">
        <v>823</v>
      </c>
      <c r="K8" s="175" t="s">
        <v>824</v>
      </c>
      <c r="L8" s="175" t="s">
        <v>1509</v>
      </c>
      <c r="M8" s="182">
        <v>38899</v>
      </c>
      <c r="N8" s="182">
        <v>44742</v>
      </c>
      <c r="O8" s="183">
        <v>465.82</v>
      </c>
      <c r="P8" s="184">
        <v>558.23099999999999</v>
      </c>
      <c r="Q8" s="174">
        <f t="shared" si="0"/>
        <v>1024.0509999999999</v>
      </c>
      <c r="R8" s="189">
        <v>0</v>
      </c>
      <c r="S8" s="190">
        <f>SUMIFS(MasterTable[Arrears + All Contractual Commitments (value next FY)],MasterTable[[Project Code and Name ]],PAProjects[[#This Row],[LINKING_CODE]],MasterTable[Funding Source],"GoU Funded")/10^9</f>
        <v>127.641716167</v>
      </c>
      <c r="T8" s="190">
        <f>SUMIFS(MasterTable[Arrears + All Contractual Commitments (value next FY)],MasterTable[[Project Code and Name ]],PAProjects[[#This Row],[LINKING_CODE]],MasterTable[Funding Source],"External Financing")/10^9</f>
        <v>27.95</v>
      </c>
      <c r="U8" s="191">
        <f>PAProjects[[#This Row],[GOU 21/22]]+PAProjects[[#This Row],[DONOR 21/22]]</f>
        <v>155.59171616699999</v>
      </c>
      <c r="V8" s="192">
        <f>SUMIFS(MasterTable[FY1 (FY22-23)],MasterTable[[Project Code and Name ]],PAProjects[[#This Row],[LINKING_CODE]],MasterTable[Funding Source],"GoU Funded")/10^9</f>
        <v>0</v>
      </c>
      <c r="W8" s="193">
        <f>SUMIFS(MasterTable[FY1 (FY22-23)],MasterTable[[Project Code and Name ]],PAProjects[[#This Row],[LINKING_CODE]],MasterTable[Funding Source],"External Financing")/10^9</f>
        <v>0</v>
      </c>
      <c r="X8" s="191">
        <f>PAProjects[[#This Row],[GOU 22/23]]+PAProjects[[#This Row],[DONOR 22/23]]</f>
        <v>0</v>
      </c>
      <c r="Y8" s="193">
        <f>SUMIFS(MasterTable[FY2 (FY23-24)],MasterTable[[Project Code and Name ]],PAProjects[[#This Row],[LINKING_CODE]],MasterTable[Funding Source],"GoU Funded")/10^9</f>
        <v>0</v>
      </c>
      <c r="Z8" s="193">
        <f>SUMIFS(MasterTable[FY2 (FY23-24)],MasterTable[[Project Code and Name ]],PAProjects[[#This Row],[LINKING_CODE]],MasterTable[Funding Source],"External Financing")/10^9</f>
        <v>0</v>
      </c>
      <c r="AA8" s="175"/>
      <c r="AB8" s="193">
        <f>SUMIFS(MasterTable[FY3 (FY24-25)],MasterTable[[Project Code and Name ]],PAProjects[[#This Row],[LINKING_CODE]],MasterTable[Funding Source],"GoU Funded")/10^9</f>
        <v>0</v>
      </c>
      <c r="AC8" s="193">
        <f>SUMIFS(MasterTable[FY3 (FY24-25)],MasterTable[[Project Code and Name ]],PAProjects[[#This Row],[LINKING_CODE]],MasterTable[Funding Source],"External Financing")/10^9</f>
        <v>0</v>
      </c>
      <c r="AD8" s="191">
        <f>PAProjects[[#This Row],[GOU 24/25]]+PAProjects[[#This Row],[DONOR 24/25]]</f>
        <v>0</v>
      </c>
    </row>
    <row r="9" spans="1:30" ht="15" customHeight="1" x14ac:dyDescent="0.25">
      <c r="A9" s="180" t="s">
        <v>899</v>
      </c>
      <c r="B9" s="175" t="s">
        <v>386</v>
      </c>
      <c r="C9" s="175" t="e">
        <f ca="1">PAProjects[[#This Row],[LINKING_CODE]]=_xlfn.CONCAT(PAProjects[[#This Row],[Project Code]]," ",PAProjects[[#This Row],[Project Name]])</f>
        <v>#NAME?</v>
      </c>
      <c r="D9" s="175" t="str">
        <f>VLOOKUP(PAProjects[[#This Row],[LINKING_CODE]],MasterTable[[Project Code and Name ]],1,FALSE)</f>
        <v>0952 Design Masaka-Bukakata road</v>
      </c>
      <c r="E9" s="175" t="s">
        <v>515</v>
      </c>
      <c r="F9" s="175" t="s">
        <v>944</v>
      </c>
      <c r="G9" s="175" t="s">
        <v>113</v>
      </c>
      <c r="H9" s="175" t="str">
        <f>VLOOKUP(I9,'Program Codes'!C:D,2,FALSE)</f>
        <v>08</v>
      </c>
      <c r="I9" s="175" t="s">
        <v>1007</v>
      </c>
      <c r="J9" s="175" t="s">
        <v>590</v>
      </c>
      <c r="K9" s="175" t="s">
        <v>1030</v>
      </c>
      <c r="L9" s="175" t="s">
        <v>1509</v>
      </c>
      <c r="M9" s="188">
        <v>41821</v>
      </c>
      <c r="N9" s="182">
        <v>44742</v>
      </c>
      <c r="O9" s="183">
        <v>50</v>
      </c>
      <c r="P9" s="184">
        <v>80</v>
      </c>
      <c r="Q9" s="174">
        <f t="shared" si="0"/>
        <v>130</v>
      </c>
      <c r="R9" s="189">
        <v>1.40803689</v>
      </c>
      <c r="S9" s="190">
        <f>SUMIFS(MasterTable[Arrears + All Contractual Commitments (value next FY)],MasterTable[[Project Code and Name ]],PAProjects[[#This Row],[LINKING_CODE]],MasterTable[Funding Source],"GoU Funded")/10^9</f>
        <v>5.40803689</v>
      </c>
      <c r="T9" s="190">
        <f>SUMIFS(MasterTable[Arrears + All Contractual Commitments (value next FY)],MasterTable[[Project Code and Name ]],PAProjects[[#This Row],[LINKING_CODE]],MasterTable[Funding Source],"External Financing")/10^9</f>
        <v>0</v>
      </c>
      <c r="U9" s="191">
        <f>PAProjects[[#This Row],[GOU 21/22]]+PAProjects[[#This Row],[DONOR 21/22]]</f>
        <v>5.40803689</v>
      </c>
      <c r="V9" s="192">
        <f>SUMIFS(MasterTable[FY1 (FY22-23)],MasterTable[[Project Code and Name ]],PAProjects[[#This Row],[LINKING_CODE]],MasterTable[Funding Source],"GoU Funded")/10^9</f>
        <v>0</v>
      </c>
      <c r="W9" s="193">
        <f>SUMIFS(MasterTable[FY1 (FY22-23)],MasterTable[[Project Code and Name ]],PAProjects[[#This Row],[LINKING_CODE]],MasterTable[Funding Source],"External Financing")/10^9</f>
        <v>0</v>
      </c>
      <c r="X9" s="191">
        <f>PAProjects[[#This Row],[GOU 22/23]]+PAProjects[[#This Row],[DONOR 22/23]]</f>
        <v>0</v>
      </c>
      <c r="Y9" s="193">
        <f>SUMIFS(MasterTable[FY2 (FY23-24)],MasterTable[[Project Code and Name ]],PAProjects[[#This Row],[LINKING_CODE]],MasterTable[Funding Source],"GoU Funded")/10^9</f>
        <v>0</v>
      </c>
      <c r="Z9" s="193">
        <f>SUMIFS(MasterTable[FY2 (FY23-24)],MasterTable[[Project Code and Name ]],PAProjects[[#This Row],[LINKING_CODE]],MasterTable[Funding Source],"External Financing")/10^9</f>
        <v>0</v>
      </c>
      <c r="AA9" s="175">
        <f t="shared" ref="AA9:AA19" si="1">Y9+Z9</f>
        <v>0</v>
      </c>
      <c r="AB9" s="193">
        <f>SUMIFS(MasterTable[FY3 (FY24-25)],MasterTable[[Project Code and Name ]],PAProjects[[#This Row],[LINKING_CODE]],MasterTable[Funding Source],"GoU Funded")/10^9</f>
        <v>0</v>
      </c>
      <c r="AC9" s="193">
        <f>SUMIFS(MasterTable[FY3 (FY24-25)],MasterTable[[Project Code and Name ]],PAProjects[[#This Row],[LINKING_CODE]],MasterTable[Funding Source],"External Financing")/10^9</f>
        <v>0</v>
      </c>
      <c r="AD9" s="191">
        <f>PAProjects[[#This Row],[GOU 24/25]]+PAProjects[[#This Row],[DONOR 24/25]]</f>
        <v>0</v>
      </c>
    </row>
    <row r="10" spans="1:30" ht="15" customHeight="1" x14ac:dyDescent="0.25">
      <c r="A10" s="180" t="s">
        <v>902</v>
      </c>
      <c r="B10" s="175" t="s">
        <v>387</v>
      </c>
      <c r="C10" s="175" t="e">
        <f ca="1">PAProjects[[#This Row],[LINKING_CODE]]=_xlfn.CONCAT(PAProjects[[#This Row],[Project Code]]," ",PAProjects[[#This Row],[Project Name]])</f>
        <v>#NAME?</v>
      </c>
      <c r="D10" s="175" t="str">
        <f>VLOOKUP(PAProjects[[#This Row],[LINKING_CODE]],MasterTable[[Project Code and Name ]],1,FALSE)</f>
        <v>1040 Design Kapchorwa-Suam road (77km)</v>
      </c>
      <c r="E10" s="175" t="s">
        <v>515</v>
      </c>
      <c r="F10" s="175" t="s">
        <v>944</v>
      </c>
      <c r="G10" s="175" t="s">
        <v>113</v>
      </c>
      <c r="H10" s="175" t="str">
        <f>VLOOKUP(I10,'Program Codes'!C:D,2,FALSE)</f>
        <v>08</v>
      </c>
      <c r="I10" s="175" t="s">
        <v>1007</v>
      </c>
      <c r="J10" s="175" t="s">
        <v>1032</v>
      </c>
      <c r="K10" s="175" t="s">
        <v>1033</v>
      </c>
      <c r="L10" s="175" t="s">
        <v>1509</v>
      </c>
      <c r="M10" s="188">
        <v>41305</v>
      </c>
      <c r="N10" s="182">
        <v>44742</v>
      </c>
      <c r="O10" s="183">
        <v>411.18799999999999</v>
      </c>
      <c r="P10" s="174"/>
      <c r="Q10" s="174">
        <f t="shared" si="0"/>
        <v>411.18799999999999</v>
      </c>
      <c r="R10" s="189">
        <v>0</v>
      </c>
      <c r="S10" s="190">
        <f>SUMIFS(MasterTable[Arrears + All Contractual Commitments (value next FY)],MasterTable[[Project Code and Name ]],PAProjects[[#This Row],[LINKING_CODE]],MasterTable[Funding Source],"GoU Funded")/10^9</f>
        <v>6.5589903920000001</v>
      </c>
      <c r="T10" s="190">
        <f>SUMIFS(MasterTable[Arrears + All Contractual Commitments (value next FY)],MasterTable[[Project Code and Name ]],PAProjects[[#This Row],[LINKING_CODE]],MasterTable[Funding Source],"External Financing")/10^9</f>
        <v>87.846368568000003</v>
      </c>
      <c r="U10" s="191">
        <f>PAProjects[[#This Row],[GOU 21/22]]+PAProjects[[#This Row],[DONOR 21/22]]</f>
        <v>94.405358960000001</v>
      </c>
      <c r="V10" s="192">
        <f>SUMIFS(MasterTable[FY1 (FY22-23)],MasterTable[[Project Code and Name ]],PAProjects[[#This Row],[LINKING_CODE]],MasterTable[Funding Source],"GoU Funded")/10^9</f>
        <v>0</v>
      </c>
      <c r="W10" s="193">
        <f>SUMIFS(MasterTable[FY1 (FY22-23)],MasterTable[[Project Code and Name ]],PAProjects[[#This Row],[LINKING_CODE]],MasterTable[Funding Source],"External Financing")/10^9</f>
        <v>0</v>
      </c>
      <c r="X10" s="191">
        <f>PAProjects[[#This Row],[GOU 22/23]]+PAProjects[[#This Row],[DONOR 22/23]]</f>
        <v>0</v>
      </c>
      <c r="Y10" s="193">
        <f>SUMIFS(MasterTable[FY2 (FY23-24)],MasterTable[[Project Code and Name ]],PAProjects[[#This Row],[LINKING_CODE]],MasterTable[Funding Source],"GoU Funded")/10^9</f>
        <v>0</v>
      </c>
      <c r="Z10" s="193">
        <f>SUMIFS(MasterTable[FY2 (FY23-24)],MasterTable[[Project Code and Name ]],PAProjects[[#This Row],[LINKING_CODE]],MasterTable[Funding Source],"External Financing")/10^9</f>
        <v>0</v>
      </c>
      <c r="AA10" s="175">
        <f t="shared" si="1"/>
        <v>0</v>
      </c>
      <c r="AB10" s="193">
        <f>SUMIFS(MasterTable[FY3 (FY24-25)],MasterTable[[Project Code and Name ]],PAProjects[[#This Row],[LINKING_CODE]],MasterTable[Funding Source],"GoU Funded")/10^9</f>
        <v>0</v>
      </c>
      <c r="AC10" s="193">
        <f>SUMIFS(MasterTable[FY3 (FY24-25)],MasterTable[[Project Code and Name ]],PAProjects[[#This Row],[LINKING_CODE]],MasterTable[Funding Source],"External Financing")/10^9</f>
        <v>0</v>
      </c>
      <c r="AD10" s="191">
        <f>PAProjects[[#This Row],[GOU 24/25]]+PAProjects[[#This Row],[DONOR 24/25]]</f>
        <v>0</v>
      </c>
    </row>
    <row r="11" spans="1:30" ht="15" customHeight="1" x14ac:dyDescent="0.25">
      <c r="A11" s="180" t="s">
        <v>904</v>
      </c>
      <c r="B11" s="175" t="s">
        <v>388</v>
      </c>
      <c r="C11" s="175" t="e">
        <f ca="1">PAProjects[[#This Row],[LINKING_CODE]]=_xlfn.CONCAT(PAProjects[[#This Row],[Project Code]]," ",PAProjects[[#This Row],[Project Name]])</f>
        <v>#NAME?</v>
      </c>
      <c r="D11" s="175" t="str">
        <f>VLOOKUP(PAProjects[[#This Row],[LINKING_CODE]],MasterTable[[Project Code and Name ]],1,FALSE)</f>
        <v>1041 Design Kyenjojo-Hoima-Masindi-Kigumba (238km)</v>
      </c>
      <c r="E11" s="175" t="s">
        <v>515</v>
      </c>
      <c r="F11" s="175" t="s">
        <v>944</v>
      </c>
      <c r="G11" s="175" t="s">
        <v>113</v>
      </c>
      <c r="H11" s="175" t="str">
        <f>VLOOKUP(I11,'Program Codes'!C:D,2,FALSE)</f>
        <v>08</v>
      </c>
      <c r="I11" s="175" t="s">
        <v>1007</v>
      </c>
      <c r="J11" s="175" t="s">
        <v>1035</v>
      </c>
      <c r="K11" s="175" t="s">
        <v>593</v>
      </c>
      <c r="L11" s="175" t="s">
        <v>1509</v>
      </c>
      <c r="M11" s="188">
        <v>41670</v>
      </c>
      <c r="N11" s="182">
        <v>44742</v>
      </c>
      <c r="O11" s="174">
        <v>273.95800000000003</v>
      </c>
      <c r="P11" s="174">
        <v>85.296999999999997</v>
      </c>
      <c r="Q11" s="174">
        <f t="shared" si="0"/>
        <v>359.255</v>
      </c>
      <c r="R11" s="189">
        <v>0</v>
      </c>
      <c r="S11" s="190">
        <f>SUMIFS(MasterTable[Arrears + All Contractual Commitments (value next FY)],MasterTable[[Project Code and Name ]],PAProjects[[#This Row],[LINKING_CODE]],MasterTable[Funding Source],"GoU Funded")/10^9</f>
        <v>7.2691137440000002</v>
      </c>
      <c r="T11" s="190">
        <f>SUMIFS(MasterTable[Arrears + All Contractual Commitments (value next FY)],MasterTable[[Project Code and Name ]],PAProjects[[#This Row],[LINKING_CODE]],MasterTable[Funding Source],"External Financing")/10^9</f>
        <v>79.964761226999997</v>
      </c>
      <c r="U11" s="191">
        <f>PAProjects[[#This Row],[GOU 21/22]]+PAProjects[[#This Row],[DONOR 21/22]]</f>
        <v>87.233874970999992</v>
      </c>
      <c r="V11" s="192">
        <f>SUMIFS(MasterTable[FY1 (FY22-23)],MasterTable[[Project Code and Name ]],PAProjects[[#This Row],[LINKING_CODE]],MasterTable[Funding Source],"GoU Funded")/10^9</f>
        <v>0</v>
      </c>
      <c r="W11" s="193">
        <f>SUMIFS(MasterTable[FY1 (FY22-23)],MasterTable[[Project Code and Name ]],PAProjects[[#This Row],[LINKING_CODE]],MasterTable[Funding Source],"External Financing")/10^9</f>
        <v>0</v>
      </c>
      <c r="X11" s="191">
        <f>PAProjects[[#This Row],[GOU 22/23]]+PAProjects[[#This Row],[DONOR 22/23]]</f>
        <v>0</v>
      </c>
      <c r="Y11" s="193">
        <f>SUMIFS(MasterTable[FY2 (FY23-24)],MasterTable[[Project Code and Name ]],PAProjects[[#This Row],[LINKING_CODE]],MasterTable[Funding Source],"GoU Funded")/10^9</f>
        <v>0</v>
      </c>
      <c r="Z11" s="193">
        <f>SUMIFS(MasterTable[FY2 (FY23-24)],MasterTable[[Project Code and Name ]],PAProjects[[#This Row],[LINKING_CODE]],MasterTable[Funding Source],"External Financing")/10^9</f>
        <v>0</v>
      </c>
      <c r="AA11" s="175">
        <f t="shared" si="1"/>
        <v>0</v>
      </c>
      <c r="AB11" s="193">
        <f>SUMIFS(MasterTable[FY3 (FY24-25)],MasterTable[[Project Code and Name ]],PAProjects[[#This Row],[LINKING_CODE]],MasterTable[Funding Source],"GoU Funded")/10^9</f>
        <v>0</v>
      </c>
      <c r="AC11" s="193">
        <f>SUMIFS(MasterTable[FY3 (FY24-25)],MasterTable[[Project Code and Name ]],PAProjects[[#This Row],[LINKING_CODE]],MasterTable[Funding Source],"External Financing")/10^9</f>
        <v>0</v>
      </c>
      <c r="AD11" s="191">
        <f>PAProjects[[#This Row],[GOU 24/25]]+PAProjects[[#This Row],[DONOR 24/25]]</f>
        <v>0</v>
      </c>
    </row>
    <row r="12" spans="1:30" ht="15" customHeight="1" x14ac:dyDescent="0.25">
      <c r="A12" s="180" t="s">
        <v>906</v>
      </c>
      <c r="B12" s="175" t="s">
        <v>435</v>
      </c>
      <c r="C12" s="175" t="e">
        <f ca="1">PAProjects[[#This Row],[LINKING_CODE]]=_xlfn.CONCAT(PAProjects[[#This Row],[Project Code]]," ",PAProjects[[#This Row],[Project Name]])</f>
        <v>#NAME?</v>
      </c>
      <c r="D12" s="175" t="str">
        <f>VLOOKUP(PAProjects[[#This Row],[LINKING_CODE]],MasterTable[[Project Code and Name ]],1,FALSE)</f>
        <v>1096 Support to Computerised Driving Permits</v>
      </c>
      <c r="E12" s="175" t="s">
        <v>515</v>
      </c>
      <c r="F12" s="175" t="s">
        <v>944</v>
      </c>
      <c r="G12" s="175" t="s">
        <v>99</v>
      </c>
      <c r="H12" s="175" t="str">
        <f>VLOOKUP(I12,'Program Codes'!C:D,2,FALSE)</f>
        <v>04</v>
      </c>
      <c r="I12" s="175" t="s">
        <v>947</v>
      </c>
      <c r="J12" s="175" t="s">
        <v>945</v>
      </c>
      <c r="K12" s="175" t="s">
        <v>946</v>
      </c>
      <c r="L12" s="175" t="s">
        <v>1509</v>
      </c>
      <c r="M12" s="188">
        <v>41456</v>
      </c>
      <c r="N12" s="182">
        <v>44742</v>
      </c>
      <c r="O12" s="183">
        <v>119.57</v>
      </c>
      <c r="P12" s="174"/>
      <c r="Q12" s="174">
        <f t="shared" si="0"/>
        <v>119.57</v>
      </c>
      <c r="R12" s="189">
        <v>0</v>
      </c>
      <c r="S12" s="190">
        <f>SUMIFS(MasterTable[Arrears + All Contractual Commitments (value next FY)],MasterTable[[Project Code and Name ]],PAProjects[[#This Row],[LINKING_CODE]],MasterTable[Funding Source],"GoU Funded")/10^9</f>
        <v>29.2</v>
      </c>
      <c r="T12" s="190">
        <f>SUMIFS(MasterTable[Arrears + All Contractual Commitments (value next FY)],MasterTable[[Project Code and Name ]],PAProjects[[#This Row],[LINKING_CODE]],MasterTable[Funding Source],"External Financing")/10^9</f>
        <v>0</v>
      </c>
      <c r="U12" s="191">
        <f>PAProjects[[#This Row],[GOU 21/22]]+PAProjects[[#This Row],[DONOR 21/22]]</f>
        <v>29.2</v>
      </c>
      <c r="V12" s="192">
        <f>SUMIFS(MasterTable[FY1 (FY22-23)],MasterTable[[Project Code and Name ]],PAProjects[[#This Row],[LINKING_CODE]],MasterTable[Funding Source],"GoU Funded")/10^9</f>
        <v>0</v>
      </c>
      <c r="W12" s="193">
        <f>SUMIFS(MasterTable[FY1 (FY22-23)],MasterTable[[Project Code and Name ]],PAProjects[[#This Row],[LINKING_CODE]],MasterTable[Funding Source],"External Financing")/10^9</f>
        <v>0</v>
      </c>
      <c r="X12" s="191">
        <f>PAProjects[[#This Row],[GOU 22/23]]+PAProjects[[#This Row],[DONOR 22/23]]</f>
        <v>0</v>
      </c>
      <c r="Y12" s="193">
        <f>SUMIFS(MasterTable[FY2 (FY23-24)],MasterTable[[Project Code and Name ]],PAProjects[[#This Row],[LINKING_CODE]],MasterTable[Funding Source],"GoU Funded")/10^9</f>
        <v>0</v>
      </c>
      <c r="Z12" s="193">
        <f>SUMIFS(MasterTable[FY2 (FY23-24)],MasterTable[[Project Code and Name ]],PAProjects[[#This Row],[LINKING_CODE]],MasterTable[Funding Source],"External Financing")/10^9</f>
        <v>0</v>
      </c>
      <c r="AA12" s="175">
        <f t="shared" si="1"/>
        <v>0</v>
      </c>
      <c r="AB12" s="193">
        <f>SUMIFS(MasterTable[FY3 (FY24-25)],MasterTable[[Project Code and Name ]],PAProjects[[#This Row],[LINKING_CODE]],MasterTable[Funding Source],"GoU Funded")/10^9</f>
        <v>0</v>
      </c>
      <c r="AC12" s="193">
        <f>SUMIFS(MasterTable[FY3 (FY24-25)],MasterTable[[Project Code and Name ]],PAProjects[[#This Row],[LINKING_CODE]],MasterTable[Funding Source],"External Financing")/10^9</f>
        <v>0</v>
      </c>
      <c r="AD12" s="191">
        <f>PAProjects[[#This Row],[GOU 24/25]]+PAProjects[[#This Row],[DONOR 24/25]]</f>
        <v>0</v>
      </c>
    </row>
    <row r="13" spans="1:30" ht="15" customHeight="1" x14ac:dyDescent="0.25">
      <c r="A13" s="180" t="s">
        <v>524</v>
      </c>
      <c r="B13" s="175" t="s">
        <v>433</v>
      </c>
      <c r="C13" s="175" t="e">
        <f ca="1">PAProjects[[#This Row],[LINKING_CODE]]=_xlfn.CONCAT(PAProjects[[#This Row],[Project Code]]," ",PAProjects[[#This Row],[Project Name]])</f>
        <v>#NAME?</v>
      </c>
      <c r="D13" s="175" t="str">
        <f>VLOOKUP(PAProjects[[#This Row],[LINKING_CODE]],MasterTable[[Project Code and Name ]],1,FALSE)</f>
        <v>1097 New Standard Gauge Railway Line</v>
      </c>
      <c r="E13" s="175" t="s">
        <v>515</v>
      </c>
      <c r="F13" s="175" t="s">
        <v>944</v>
      </c>
      <c r="G13" s="175" t="s">
        <v>99</v>
      </c>
      <c r="H13" s="175" t="str">
        <f>VLOOKUP(I13,'Program Codes'!C:D,2,FALSE)</f>
        <v>14</v>
      </c>
      <c r="I13" s="175" t="s">
        <v>1238</v>
      </c>
      <c r="J13" s="175" t="s">
        <v>1236</v>
      </c>
      <c r="K13" s="175" t="s">
        <v>1237</v>
      </c>
      <c r="L13" s="175" t="s">
        <v>1509</v>
      </c>
      <c r="M13" s="188">
        <v>41456</v>
      </c>
      <c r="N13" s="182">
        <v>44742</v>
      </c>
      <c r="O13" s="183">
        <v>1470.2912595360001</v>
      </c>
      <c r="P13" s="184">
        <v>8674.0786399999997</v>
      </c>
      <c r="Q13" s="174">
        <f t="shared" si="0"/>
        <v>10144.369899535999</v>
      </c>
      <c r="R13" s="189">
        <v>0</v>
      </c>
      <c r="S13" s="190">
        <f>SUMIFS(MasterTable[Arrears + All Contractual Commitments (value next FY)],MasterTable[[Project Code and Name ]],PAProjects[[#This Row],[LINKING_CODE]],MasterTable[Funding Source],"GoU Funded")/10^9</f>
        <v>19</v>
      </c>
      <c r="T13" s="190">
        <f>SUMIFS(MasterTable[Arrears + All Contractual Commitments (value next FY)],MasterTable[[Project Code and Name ]],PAProjects[[#This Row],[LINKING_CODE]],MasterTable[Funding Source],"External Financing")/10^9</f>
        <v>0</v>
      </c>
      <c r="U13" s="196">
        <f>PAProjects[[#This Row],[GOU 21/22]]+PAProjects[[#This Row],[DONOR 21/22]]</f>
        <v>19</v>
      </c>
      <c r="V13" s="192">
        <f>SUMIFS(MasterTable[FY1 (FY22-23)],MasterTable[[Project Code and Name ]],PAProjects[[#This Row],[LINKING_CODE]],MasterTable[Funding Source],"GoU Funded")/10^9</f>
        <v>0</v>
      </c>
      <c r="W13" s="193">
        <f>SUMIFS(MasterTable[FY1 (FY22-23)],MasterTable[[Project Code and Name ]],PAProjects[[#This Row],[LINKING_CODE]],MasterTable[Funding Source],"External Financing")/10^9</f>
        <v>0</v>
      </c>
      <c r="X13" s="191">
        <f>PAProjects[[#This Row],[GOU 22/23]]+PAProjects[[#This Row],[DONOR 22/23]]</f>
        <v>0</v>
      </c>
      <c r="Y13" s="193">
        <f>SUMIFS(MasterTable[FY2 (FY23-24)],MasterTable[[Project Code and Name ]],PAProjects[[#This Row],[LINKING_CODE]],MasterTable[Funding Source],"GoU Funded")/10^9</f>
        <v>0</v>
      </c>
      <c r="Z13" s="193">
        <f>SUMIFS(MasterTable[FY2 (FY23-24)],MasterTable[[Project Code and Name ]],PAProjects[[#This Row],[LINKING_CODE]],MasterTable[Funding Source],"External Financing")/10^9</f>
        <v>0</v>
      </c>
      <c r="AA13" s="175">
        <f t="shared" si="1"/>
        <v>0</v>
      </c>
      <c r="AB13" s="193">
        <f>SUMIFS(MasterTable[FY3 (FY24-25)],MasterTable[[Project Code and Name ]],PAProjects[[#This Row],[LINKING_CODE]],MasterTable[Funding Source],"GoU Funded")/10^9</f>
        <v>0</v>
      </c>
      <c r="AC13" s="193">
        <f>SUMIFS(MasterTable[FY3 (FY24-25)],MasterTable[[Project Code and Name ]],PAProjects[[#This Row],[LINKING_CODE]],MasterTable[Funding Source],"External Financing")/10^9</f>
        <v>0</v>
      </c>
      <c r="AD13" s="191">
        <f>PAProjects[[#This Row],[GOU 24/25]]+PAProjects[[#This Row],[DONOR 24/25]]</f>
        <v>0</v>
      </c>
    </row>
    <row r="14" spans="1:30" ht="15" customHeight="1" x14ac:dyDescent="0.25">
      <c r="A14" s="180" t="s">
        <v>525</v>
      </c>
      <c r="B14" s="175" t="s">
        <v>34</v>
      </c>
      <c r="C14" s="175" t="e">
        <f ca="1">PAProjects[[#This Row],[LINKING_CODE]]=_xlfn.CONCAT(PAProjects[[#This Row],[Project Code]]," ",PAProjects[[#This Row],[Project Name]])</f>
        <v>#NAME?</v>
      </c>
      <c r="D14" s="175" t="str">
        <f>VLOOKUP(PAProjects[[#This Row],[LINKING_CODE]],MasterTable[[Project Code and Name ]],1,FALSE)</f>
        <v>1143 Isimba HPP</v>
      </c>
      <c r="E14" s="175" t="s">
        <v>513</v>
      </c>
      <c r="F14" s="175" t="s">
        <v>1089</v>
      </c>
      <c r="G14" s="175" t="s">
        <v>66</v>
      </c>
      <c r="H14" s="175" t="str">
        <f>VLOOKUP(I14,'Program Codes'!C:D,2,FALSE)</f>
        <v>15</v>
      </c>
      <c r="I14" s="175" t="s">
        <v>1251</v>
      </c>
      <c r="J14" s="175" t="s">
        <v>1241</v>
      </c>
      <c r="K14" s="175" t="s">
        <v>560</v>
      </c>
      <c r="L14" s="175" t="s">
        <v>1509</v>
      </c>
      <c r="M14" s="182">
        <v>41091</v>
      </c>
      <c r="N14" s="182">
        <v>44742</v>
      </c>
      <c r="O14" s="197">
        <v>264</v>
      </c>
      <c r="P14" s="197">
        <v>1499.3999999999999</v>
      </c>
      <c r="Q14" s="174">
        <f t="shared" si="0"/>
        <v>1763.3999999999999</v>
      </c>
      <c r="R14" s="189">
        <v>0</v>
      </c>
      <c r="S14" s="190">
        <f>SUMIFS(MasterTable[Arrears + All Contractual Commitments (value next FY)],MasterTable[[Project Code and Name ]],PAProjects[[#This Row],[LINKING_CODE]],MasterTable[Funding Source],"GoU Funded")/10^9</f>
        <v>18.559999999999999</v>
      </c>
      <c r="T14" s="190">
        <f>SUMIFS(MasterTable[Arrears + All Contractual Commitments (value next FY)],MasterTable[[Project Code and Name ]],PAProjects[[#This Row],[LINKING_CODE]],MasterTable[Funding Source],"External Financing")/10^9</f>
        <v>110.71</v>
      </c>
      <c r="U14" s="191">
        <f>PAProjects[[#This Row],[GOU 21/22]]+PAProjects[[#This Row],[DONOR 21/22]]</f>
        <v>129.26999999999998</v>
      </c>
      <c r="V14" s="192">
        <f>SUMIFS(MasterTable[FY1 (FY22-23)],MasterTable[[Project Code and Name ]],PAProjects[[#This Row],[LINKING_CODE]],MasterTable[Funding Source],"GoU Funded")/10^9</f>
        <v>0</v>
      </c>
      <c r="W14" s="193">
        <f>SUMIFS(MasterTable[FY1 (FY22-23)],MasterTable[[Project Code and Name ]],PAProjects[[#This Row],[LINKING_CODE]],MasterTable[Funding Source],"External Financing")/10^9</f>
        <v>0</v>
      </c>
      <c r="X14" s="191">
        <f>PAProjects[[#This Row],[GOU 22/23]]+PAProjects[[#This Row],[DONOR 22/23]]</f>
        <v>0</v>
      </c>
      <c r="Y14" s="193">
        <f>SUMIFS(MasterTable[FY2 (FY23-24)],MasterTable[[Project Code and Name ]],PAProjects[[#This Row],[LINKING_CODE]],MasterTable[Funding Source],"GoU Funded")/10^9</f>
        <v>0</v>
      </c>
      <c r="Z14" s="193">
        <f>SUMIFS(MasterTable[FY2 (FY23-24)],MasterTable[[Project Code and Name ]],PAProjects[[#This Row],[LINKING_CODE]],MasterTable[Funding Source],"External Financing")/10^9</f>
        <v>0</v>
      </c>
      <c r="AA14" s="175">
        <f t="shared" si="1"/>
        <v>0</v>
      </c>
      <c r="AB14" s="193">
        <f>SUMIFS(MasterTable[FY3 (FY24-25)],MasterTable[[Project Code and Name ]],PAProjects[[#This Row],[LINKING_CODE]],MasterTable[Funding Source],"GoU Funded")/10^9</f>
        <v>0</v>
      </c>
      <c r="AC14" s="193">
        <f>SUMIFS(MasterTable[FY3 (FY24-25)],MasterTable[[Project Code and Name ]],PAProjects[[#This Row],[LINKING_CODE]],MasterTable[Funding Source],"External Financing")/10^9</f>
        <v>0</v>
      </c>
      <c r="AD14" s="191">
        <f>PAProjects[[#This Row],[GOU 24/25]]+PAProjects[[#This Row],[DONOR 24/25]]</f>
        <v>0</v>
      </c>
    </row>
    <row r="15" spans="1:30" ht="15" customHeight="1" x14ac:dyDescent="0.25">
      <c r="A15" s="180" t="s">
        <v>527</v>
      </c>
      <c r="B15" s="175" t="s">
        <v>389</v>
      </c>
      <c r="C15" s="175" t="e">
        <f ca="1">PAProjects[[#This Row],[LINKING_CODE]]=_xlfn.CONCAT(PAProjects[[#This Row],[Project Code]]," ",PAProjects[[#This Row],[Project Name]])</f>
        <v>#NAME?</v>
      </c>
      <c r="D15" s="175" t="str">
        <f>VLOOKUP(PAProjects[[#This Row],[LINKING_CODE]],MasterTable[[Project Code and Name ]],1,FALSE)</f>
        <v>1176 Hoima-Wanseko Road (83Km)</v>
      </c>
      <c r="E15" s="175" t="s">
        <v>515</v>
      </c>
      <c r="F15" s="175" t="s">
        <v>944</v>
      </c>
      <c r="G15" s="175" t="s">
        <v>113</v>
      </c>
      <c r="H15" s="175" t="str">
        <f>VLOOKUP(I15,'Program Codes'!C:D,2,FALSE)</f>
        <v>08</v>
      </c>
      <c r="I15" s="175" t="s">
        <v>1007</v>
      </c>
      <c r="J15" s="175" t="s">
        <v>1037</v>
      </c>
      <c r="K15" s="175" t="s">
        <v>1038</v>
      </c>
      <c r="L15" s="175" t="s">
        <v>1509</v>
      </c>
      <c r="M15" s="188">
        <v>40877</v>
      </c>
      <c r="N15" s="182">
        <v>44742</v>
      </c>
      <c r="O15" s="183">
        <v>76.534999999999997</v>
      </c>
      <c r="P15" s="184">
        <v>330</v>
      </c>
      <c r="Q15" s="174">
        <f t="shared" si="0"/>
        <v>406.53499999999997</v>
      </c>
      <c r="R15" s="189">
        <v>83.304597756999996</v>
      </c>
      <c r="S15" s="190">
        <f>SUMIFS(MasterTable[Arrears + All Contractual Commitments (value next FY)],MasterTable[[Project Code and Name ]],PAProjects[[#This Row],[LINKING_CODE]],MasterTable[Funding Source],"GoU Funded")/10^9</f>
        <v>156.208680937</v>
      </c>
      <c r="T15" s="190">
        <f>SUMIFS(MasterTable[Arrears + All Contractual Commitments (value next FY)],MasterTable[[Project Code and Name ]],PAProjects[[#This Row],[LINKING_CODE]],MasterTable[Funding Source],"External Financing")/10^9</f>
        <v>561.12125669500006</v>
      </c>
      <c r="U15" s="191">
        <f>PAProjects[[#This Row],[GOU 21/22]]+PAProjects[[#This Row],[DONOR 21/22]]</f>
        <v>717.32993763200011</v>
      </c>
      <c r="V15" s="192">
        <f>SUMIFS(MasterTable[FY1 (FY22-23)],MasterTable[[Project Code and Name ]],PAProjects[[#This Row],[LINKING_CODE]],MasterTable[Funding Source],"GoU Funded")/10^9</f>
        <v>0</v>
      </c>
      <c r="W15" s="193">
        <f>SUMIFS(MasterTable[FY1 (FY22-23)],MasterTable[[Project Code and Name ]],PAProjects[[#This Row],[LINKING_CODE]],MasterTable[Funding Source],"External Financing")/10^9</f>
        <v>0</v>
      </c>
      <c r="X15" s="191">
        <f>PAProjects[[#This Row],[GOU 22/23]]+PAProjects[[#This Row],[DONOR 22/23]]</f>
        <v>0</v>
      </c>
      <c r="Y15" s="193">
        <f>SUMIFS(MasterTable[FY2 (FY23-24)],MasterTable[[Project Code and Name ]],PAProjects[[#This Row],[LINKING_CODE]],MasterTable[Funding Source],"GoU Funded")/10^9</f>
        <v>0</v>
      </c>
      <c r="Z15" s="193">
        <f>SUMIFS(MasterTable[FY2 (FY23-24)],MasterTable[[Project Code and Name ]],PAProjects[[#This Row],[LINKING_CODE]],MasterTable[Funding Source],"External Financing")/10^9</f>
        <v>0</v>
      </c>
      <c r="AA15" s="175">
        <f t="shared" si="1"/>
        <v>0</v>
      </c>
      <c r="AB15" s="193">
        <f>SUMIFS(MasterTable[FY3 (FY24-25)],MasterTable[[Project Code and Name ]],PAProjects[[#This Row],[LINKING_CODE]],MasterTable[Funding Source],"GoU Funded")/10^9</f>
        <v>0</v>
      </c>
      <c r="AC15" s="193">
        <f>SUMIFS(MasterTable[FY3 (FY24-25)],MasterTable[[Project Code and Name ]],PAProjects[[#This Row],[LINKING_CODE]],MasterTable[Funding Source],"External Financing")/10^9</f>
        <v>0</v>
      </c>
      <c r="AD15" s="191">
        <f>PAProjects[[#This Row],[GOU 24/25]]+PAProjects[[#This Row],[DONOR 24/25]]</f>
        <v>0</v>
      </c>
    </row>
    <row r="16" spans="1:30" ht="15" customHeight="1" x14ac:dyDescent="0.25">
      <c r="A16" s="180" t="s">
        <v>529</v>
      </c>
      <c r="B16" s="175" t="s">
        <v>38</v>
      </c>
      <c r="C16" s="175" t="e">
        <f ca="1">PAProjects[[#This Row],[LINKING_CODE]]=_xlfn.CONCAT(PAProjects[[#This Row],[Project Code]]," ",PAProjects[[#This Row],[Project Name]])</f>
        <v>#NAME?</v>
      </c>
      <c r="D16" s="175" t="str">
        <f>VLOOKUP(PAProjects[[#This Row],[LINKING_CODE]],MasterTable[[Project Code and Name ]],1,FALSE)</f>
        <v>1183 Karuma Hydoelectricity Power Project</v>
      </c>
      <c r="E16" s="175" t="s">
        <v>513</v>
      </c>
      <c r="F16" s="175" t="s">
        <v>1089</v>
      </c>
      <c r="G16" s="175" t="s">
        <v>66</v>
      </c>
      <c r="H16" s="175" t="str">
        <f>VLOOKUP(I16,'Program Codes'!C:D,2,FALSE)</f>
        <v>15</v>
      </c>
      <c r="I16" s="175" t="s">
        <v>1251</v>
      </c>
      <c r="J16" s="175" t="s">
        <v>1242</v>
      </c>
      <c r="K16" s="175" t="s">
        <v>572</v>
      </c>
      <c r="L16" s="175" t="s">
        <v>1509</v>
      </c>
      <c r="M16" s="182">
        <v>40893</v>
      </c>
      <c r="N16" s="182">
        <v>44742</v>
      </c>
      <c r="O16" s="198">
        <v>2292.1</v>
      </c>
      <c r="P16" s="199">
        <v>3586.92</v>
      </c>
      <c r="Q16" s="174">
        <f t="shared" si="0"/>
        <v>5879.02</v>
      </c>
      <c r="R16" s="189">
        <v>0</v>
      </c>
      <c r="S16" s="190">
        <f>SUMIFS(MasterTable[Arrears + All Contractual Commitments (value next FY)],MasterTable[[Project Code and Name ]],PAProjects[[#This Row],[LINKING_CODE]],MasterTable[Funding Source],"GoU Funded")/10^9</f>
        <v>31</v>
      </c>
      <c r="T16" s="190">
        <f>SUMIFS(MasterTable[Arrears + All Contractual Commitments (value next FY)],MasterTable[[Project Code and Name ]],PAProjects[[#This Row],[LINKING_CODE]],MasterTable[Funding Source],"External Financing")/10^9</f>
        <v>0</v>
      </c>
      <c r="U16" s="200">
        <f>PAProjects[[#This Row],[GOU 21/22]]+PAProjects[[#This Row],[DONOR 21/22]]</f>
        <v>31</v>
      </c>
      <c r="V16" s="192">
        <f>SUMIFS(MasterTable[FY1 (FY22-23)],MasterTable[[Project Code and Name ]],PAProjects[[#This Row],[LINKING_CODE]],MasterTable[Funding Source],"GoU Funded")/10^9</f>
        <v>0</v>
      </c>
      <c r="W16" s="193">
        <f>SUMIFS(MasterTable[FY1 (FY22-23)],MasterTable[[Project Code and Name ]],PAProjects[[#This Row],[LINKING_CODE]],MasterTable[Funding Source],"External Financing")/10^9</f>
        <v>0</v>
      </c>
      <c r="X16" s="191">
        <f>PAProjects[[#This Row],[GOU 22/23]]+PAProjects[[#This Row],[DONOR 22/23]]</f>
        <v>0</v>
      </c>
      <c r="Y16" s="193">
        <f>SUMIFS(MasterTable[FY2 (FY23-24)],MasterTable[[Project Code and Name ]],PAProjects[[#This Row],[LINKING_CODE]],MasterTable[Funding Source],"GoU Funded")/10^9</f>
        <v>0</v>
      </c>
      <c r="Z16" s="193">
        <f>SUMIFS(MasterTable[FY2 (FY23-24)],MasterTable[[Project Code and Name ]],PAProjects[[#This Row],[LINKING_CODE]],MasterTable[Funding Source],"External Financing")/10^9</f>
        <v>0</v>
      </c>
      <c r="AA16" s="175">
        <f t="shared" si="1"/>
        <v>0</v>
      </c>
      <c r="AB16" s="193">
        <f>SUMIFS(MasterTable[FY3 (FY24-25)],MasterTable[[Project Code and Name ]],PAProjects[[#This Row],[LINKING_CODE]],MasterTable[Funding Source],"GoU Funded")/10^9</f>
        <v>0</v>
      </c>
      <c r="AC16" s="193">
        <f>SUMIFS(MasterTable[FY3 (FY24-25)],MasterTable[[Project Code and Name ]],PAProjects[[#This Row],[LINKING_CODE]],MasterTable[Funding Source],"External Financing")/10^9</f>
        <v>0</v>
      </c>
      <c r="AD16" s="191">
        <f>PAProjects[[#This Row],[GOU 24/25]]+PAProjects[[#This Row],[DONOR 24/25]]</f>
        <v>0</v>
      </c>
    </row>
    <row r="17" spans="1:30" ht="15" customHeight="1" x14ac:dyDescent="0.25">
      <c r="A17" s="180" t="s">
        <v>531</v>
      </c>
      <c r="B17" s="175" t="s">
        <v>54</v>
      </c>
      <c r="C17" s="175" t="e">
        <f ca="1">PAProjects[[#This Row],[LINKING_CODE]]=_xlfn.CONCAT(PAProjects[[#This Row],[Project Code]]," ",PAProjects[[#This Row],[Project Name]])</f>
        <v>#NAME?</v>
      </c>
      <c r="D17" s="175" t="str">
        <f>VLOOKUP(PAProjects[[#This Row],[LINKING_CODE]],MasterTable[[Project Code and Name ]],1,FALSE)</f>
        <v>1184 Construction of Oil Refinery</v>
      </c>
      <c r="E17" s="175" t="s">
        <v>513</v>
      </c>
      <c r="F17" s="175" t="s">
        <v>1089</v>
      </c>
      <c r="G17" s="175" t="s">
        <v>66</v>
      </c>
      <c r="H17" s="175" t="str">
        <f>VLOOKUP(I17,'Program Codes'!C:D,2,FALSE)</f>
        <v>11</v>
      </c>
      <c r="I17" s="175" t="s">
        <v>1095</v>
      </c>
      <c r="J17" s="175" t="s">
        <v>1096</v>
      </c>
      <c r="K17" s="175" t="s">
        <v>564</v>
      </c>
      <c r="L17" s="175" t="s">
        <v>1509</v>
      </c>
      <c r="M17" s="182">
        <v>41456</v>
      </c>
      <c r="N17" s="182">
        <v>44742</v>
      </c>
      <c r="O17" s="198">
        <v>67</v>
      </c>
      <c r="P17" s="174"/>
      <c r="Q17" s="174">
        <f t="shared" si="0"/>
        <v>67</v>
      </c>
      <c r="R17" s="189">
        <v>0</v>
      </c>
      <c r="S17" s="190">
        <f>SUMIFS(MasterTable[Arrears + All Contractual Commitments (value next FY)],MasterTable[[Project Code and Name ]],PAProjects[[#This Row],[LINKING_CODE]],MasterTable[Funding Source],"GoU Funded")/10^9</f>
        <v>6.41</v>
      </c>
      <c r="T17" s="190">
        <f>SUMIFS(MasterTable[Arrears + All Contractual Commitments (value next FY)],MasterTable[[Project Code and Name ]],PAProjects[[#This Row],[LINKING_CODE]],MasterTable[Funding Source],"External Financing")/10^9</f>
        <v>0</v>
      </c>
      <c r="U17" s="191">
        <f>PAProjects[[#This Row],[GOU 21/22]]+PAProjects[[#This Row],[DONOR 21/22]]</f>
        <v>6.41</v>
      </c>
      <c r="V17" s="192">
        <f>SUMIFS(MasterTable[FY1 (FY22-23)],MasterTable[[Project Code and Name ]],PAProjects[[#This Row],[LINKING_CODE]],MasterTable[Funding Source],"GoU Funded")/10^9</f>
        <v>0</v>
      </c>
      <c r="W17" s="193">
        <f>SUMIFS(MasterTable[FY1 (FY22-23)],MasterTable[[Project Code and Name ]],PAProjects[[#This Row],[LINKING_CODE]],MasterTable[Funding Source],"External Financing")/10^9</f>
        <v>0</v>
      </c>
      <c r="X17" s="191">
        <f>PAProjects[[#This Row],[GOU 22/23]]+PAProjects[[#This Row],[DONOR 22/23]]</f>
        <v>0</v>
      </c>
      <c r="Y17" s="193">
        <f>SUMIFS(MasterTable[FY2 (FY23-24)],MasterTable[[Project Code and Name ]],PAProjects[[#This Row],[LINKING_CODE]],MasterTable[Funding Source],"GoU Funded")/10^9</f>
        <v>0</v>
      </c>
      <c r="Z17" s="193">
        <f>SUMIFS(MasterTable[FY2 (FY23-24)],MasterTable[[Project Code and Name ]],PAProjects[[#This Row],[LINKING_CODE]],MasterTable[Funding Source],"External Financing")/10^9</f>
        <v>0</v>
      </c>
      <c r="AA17" s="175">
        <f t="shared" si="1"/>
        <v>0</v>
      </c>
      <c r="AB17" s="193">
        <f>SUMIFS(MasterTable[FY3 (FY24-25)],MasterTable[[Project Code and Name ]],PAProjects[[#This Row],[LINKING_CODE]],MasterTable[Funding Source],"GoU Funded")/10^9</f>
        <v>0</v>
      </c>
      <c r="AC17" s="193">
        <f>SUMIFS(MasterTable[FY3 (FY24-25)],MasterTable[[Project Code and Name ]],PAProjects[[#This Row],[LINKING_CODE]],MasterTable[Funding Source],"External Financing")/10^9</f>
        <v>0</v>
      </c>
      <c r="AD17" s="191">
        <f>PAProjects[[#This Row],[GOU 24/25]]+PAProjects[[#This Row],[DONOR 24/25]]</f>
        <v>0</v>
      </c>
    </row>
    <row r="18" spans="1:30" ht="15" customHeight="1" x14ac:dyDescent="0.25">
      <c r="A18" s="180" t="s">
        <v>533</v>
      </c>
      <c r="B18" s="175" t="s">
        <v>42</v>
      </c>
      <c r="C18" s="175" t="e">
        <f ca="1">PAProjects[[#This Row],[LINKING_CODE]]=_xlfn.CONCAT(PAProjects[[#This Row],[Project Code]]," ",PAProjects[[#This Row],[Project Name]])</f>
        <v>#NAME?</v>
      </c>
      <c r="D18" s="175" t="str">
        <f>VLOOKUP(PAProjects[[#This Row],[LINKING_CODE]],MasterTable[[Project Code and Name ]],1,FALSE)</f>
        <v>1221 Opuyo Moroto Interconnection Project</v>
      </c>
      <c r="E18" s="175" t="s">
        <v>513</v>
      </c>
      <c r="F18" s="175" t="s">
        <v>1089</v>
      </c>
      <c r="G18" s="175" t="s">
        <v>66</v>
      </c>
      <c r="H18" s="175" t="str">
        <f>VLOOKUP(I18,'Program Codes'!C:D,2,FALSE)</f>
        <v>15</v>
      </c>
      <c r="I18" s="175" t="s">
        <v>1251</v>
      </c>
      <c r="J18" s="175" t="s">
        <v>1243</v>
      </c>
      <c r="K18" s="175" t="s">
        <v>561</v>
      </c>
      <c r="L18" s="175" t="s">
        <v>1509</v>
      </c>
      <c r="M18" s="182">
        <v>41030</v>
      </c>
      <c r="N18" s="182">
        <v>44742</v>
      </c>
      <c r="O18" s="198">
        <v>24.93</v>
      </c>
      <c r="P18" s="199">
        <v>204.22</v>
      </c>
      <c r="Q18" s="174">
        <f t="shared" si="0"/>
        <v>229.15</v>
      </c>
      <c r="R18" s="189">
        <v>0</v>
      </c>
      <c r="S18" s="190">
        <f>SUMIFS(MasterTable[Arrears + All Contractual Commitments (value next FY)],MasterTable[[Project Code and Name ]],PAProjects[[#This Row],[LINKING_CODE]],MasterTable[Funding Source],"GoU Funded")/10^9</f>
        <v>1.5</v>
      </c>
      <c r="T18" s="190">
        <f>SUMIFS(MasterTable[Arrears + All Contractual Commitments (value next FY)],MasterTable[[Project Code and Name ]],PAProjects[[#This Row],[LINKING_CODE]],MasterTable[Funding Source],"External Financing")/10^9</f>
        <v>0</v>
      </c>
      <c r="U18" s="196">
        <f>PAProjects[[#This Row],[GOU 21/22]]+PAProjects[[#This Row],[DONOR 21/22]]</f>
        <v>1.5</v>
      </c>
      <c r="V18" s="192">
        <f>SUMIFS(MasterTable[FY1 (FY22-23)],MasterTable[[Project Code and Name ]],PAProjects[[#This Row],[LINKING_CODE]],MasterTable[Funding Source],"GoU Funded")/10^9</f>
        <v>0</v>
      </c>
      <c r="W18" s="193">
        <f>SUMIFS(MasterTable[FY1 (FY22-23)],MasterTable[[Project Code and Name ]],PAProjects[[#This Row],[LINKING_CODE]],MasterTable[Funding Source],"External Financing")/10^9</f>
        <v>0</v>
      </c>
      <c r="X18" s="191">
        <f>PAProjects[[#This Row],[GOU 22/23]]+PAProjects[[#This Row],[DONOR 22/23]]</f>
        <v>0</v>
      </c>
      <c r="Y18" s="193">
        <f>SUMIFS(MasterTable[FY2 (FY23-24)],MasterTable[[Project Code and Name ]],PAProjects[[#This Row],[LINKING_CODE]],MasterTable[Funding Source],"GoU Funded")/10^9</f>
        <v>0</v>
      </c>
      <c r="Z18" s="193">
        <f>SUMIFS(MasterTable[FY2 (FY23-24)],MasterTable[[Project Code and Name ]],PAProjects[[#This Row],[LINKING_CODE]],MasterTable[Funding Source],"External Financing")/10^9</f>
        <v>0</v>
      </c>
      <c r="AA18" s="175">
        <f t="shared" si="1"/>
        <v>0</v>
      </c>
      <c r="AB18" s="193">
        <f>SUMIFS(MasterTable[FY3 (FY24-25)],MasterTable[[Project Code and Name ]],PAProjects[[#This Row],[LINKING_CODE]],MasterTable[Funding Source],"GoU Funded")/10^9</f>
        <v>0</v>
      </c>
      <c r="AC18" s="193">
        <f>SUMIFS(MasterTable[FY3 (FY24-25)],MasterTable[[Project Code and Name ]],PAProjects[[#This Row],[LINKING_CODE]],MasterTable[Funding Source],"External Financing")/10^9</f>
        <v>0</v>
      </c>
      <c r="AD18" s="191">
        <f>PAProjects[[#This Row],[GOU 24/25]]+PAProjects[[#This Row],[DONOR 24/25]]</f>
        <v>0</v>
      </c>
    </row>
    <row r="19" spans="1:30" ht="15" customHeight="1" x14ac:dyDescent="0.25">
      <c r="A19" s="180" t="s">
        <v>534</v>
      </c>
      <c r="B19" s="175" t="s">
        <v>456</v>
      </c>
      <c r="C19" s="175" t="e">
        <f ca="1">PAProjects[[#This Row],[LINKING_CODE]]=_xlfn.CONCAT(PAProjects[[#This Row],[Project Code]]," ",PAProjects[[#This Row],[Project Name]])</f>
        <v>#NAME?</v>
      </c>
      <c r="D19" s="175" t="str">
        <f>VLOOKUP(PAProjects[[#This Row],[LINKING_CODE]],MasterTable[[Project Code and Name ]],1,FALSE)</f>
        <v>1241 Development of Uganda Petroleum Institute Kigumba</v>
      </c>
      <c r="E19" s="175" t="s">
        <v>519</v>
      </c>
      <c r="F19" s="175" t="s">
        <v>960</v>
      </c>
      <c r="G19" s="175" t="s">
        <v>961</v>
      </c>
      <c r="H19" s="175" t="str">
        <f>VLOOKUP(I19,'Program Codes'!C:D,2,FALSE)</f>
        <v>06</v>
      </c>
      <c r="I19" s="175" t="s">
        <v>962</v>
      </c>
      <c r="J19" s="175" t="s">
        <v>668</v>
      </c>
      <c r="K19" s="175" t="s">
        <v>669</v>
      </c>
      <c r="L19" s="175" t="s">
        <v>1509</v>
      </c>
      <c r="M19" s="182">
        <v>42186</v>
      </c>
      <c r="N19" s="182">
        <v>44742</v>
      </c>
      <c r="O19" s="183">
        <v>50.194000000000003</v>
      </c>
      <c r="P19" s="174"/>
      <c r="Q19" s="174">
        <f t="shared" si="0"/>
        <v>50.194000000000003</v>
      </c>
      <c r="R19" s="189">
        <v>4.0599999999999996</v>
      </c>
      <c r="S19" s="190">
        <f>SUMIFS(MasterTable[Arrears + All Contractual Commitments (value next FY)],MasterTable[[Project Code and Name ]],PAProjects[[#This Row],[LINKING_CODE]],MasterTable[Funding Source],"GoU Funded")/10^9</f>
        <v>14.06</v>
      </c>
      <c r="T19" s="190">
        <f>SUMIFS(MasterTable[Arrears + All Contractual Commitments (value next FY)],MasterTable[[Project Code and Name ]],PAProjects[[#This Row],[LINKING_CODE]],MasterTable[Funding Source],"External Financing")/10^9</f>
        <v>0</v>
      </c>
      <c r="U19" s="191">
        <f>PAProjects[[#This Row],[GOU 21/22]]+PAProjects[[#This Row],[DONOR 21/22]]</f>
        <v>14.06</v>
      </c>
      <c r="V19" s="192">
        <f>SUMIFS(MasterTable[FY1 (FY22-23)],MasterTable[[Project Code and Name ]],PAProjects[[#This Row],[LINKING_CODE]],MasterTable[Funding Source],"GoU Funded")/10^9</f>
        <v>0</v>
      </c>
      <c r="W19" s="193">
        <f>SUMIFS(MasterTable[FY1 (FY22-23)],MasterTable[[Project Code and Name ]],PAProjects[[#This Row],[LINKING_CODE]],MasterTable[Funding Source],"External Financing")/10^9</f>
        <v>0</v>
      </c>
      <c r="X19" s="191">
        <f>PAProjects[[#This Row],[GOU 22/23]]+PAProjects[[#This Row],[DONOR 22/23]]</f>
        <v>0</v>
      </c>
      <c r="Y19" s="193">
        <f>SUMIFS(MasterTable[FY2 (FY23-24)],MasterTable[[Project Code and Name ]],PAProjects[[#This Row],[LINKING_CODE]],MasterTable[Funding Source],"GoU Funded")/10^9</f>
        <v>0</v>
      </c>
      <c r="Z19" s="193">
        <f>SUMIFS(MasterTable[FY2 (FY23-24)],MasterTable[[Project Code and Name ]],PAProjects[[#This Row],[LINKING_CODE]],MasterTable[Funding Source],"External Financing")/10^9</f>
        <v>0</v>
      </c>
      <c r="AA19" s="175">
        <f t="shared" si="1"/>
        <v>0</v>
      </c>
      <c r="AB19" s="193">
        <f>SUMIFS(MasterTable[FY3 (FY24-25)],MasterTable[[Project Code and Name ]],PAProjects[[#This Row],[LINKING_CODE]],MasterTable[Funding Source],"GoU Funded")/10^9</f>
        <v>0</v>
      </c>
      <c r="AC19" s="193">
        <f>SUMIFS(MasterTable[FY3 (FY24-25)],MasterTable[[Project Code and Name ]],PAProjects[[#This Row],[LINKING_CODE]],MasterTable[Funding Source],"External Financing")/10^9</f>
        <v>0</v>
      </c>
      <c r="AD19" s="191">
        <f>PAProjects[[#This Row],[GOU 24/25]]+PAProjects[[#This Row],[DONOR 24/25]]</f>
        <v>0</v>
      </c>
    </row>
    <row r="20" spans="1:30" ht="15" customHeight="1" x14ac:dyDescent="0.25">
      <c r="A20" s="180" t="s">
        <v>535</v>
      </c>
      <c r="B20" s="175" t="s">
        <v>345</v>
      </c>
      <c r="C20" s="175" t="e">
        <f ca="1">PAProjects[[#This Row],[LINKING_CODE]]=_xlfn.CONCAT(PAProjects[[#This Row],[Project Code]]," ",PAProjects[[#This Row],[Project Name]])</f>
        <v>#NAME?</v>
      </c>
      <c r="D20" s="175" t="str">
        <f>VLOOKUP(PAProjects[[#This Row],[LINKING_CODE]],MasterTable[[Project Code and Name ]],1,FALSE)</f>
        <v>1242 Construction of the JLOS House</v>
      </c>
      <c r="E20" s="175" t="s">
        <v>527</v>
      </c>
      <c r="F20" s="175" t="s">
        <v>929</v>
      </c>
      <c r="G20" s="175" t="s">
        <v>957</v>
      </c>
      <c r="H20" s="175" t="str">
        <f>VLOOKUP(I20,'Program Codes'!C:D,2,FALSE)</f>
        <v>05</v>
      </c>
      <c r="I20" s="175" t="s">
        <v>953</v>
      </c>
      <c r="J20" s="175" t="s">
        <v>825</v>
      </c>
      <c r="K20" s="175" t="s">
        <v>958</v>
      </c>
      <c r="L20" s="175" t="s">
        <v>1509</v>
      </c>
      <c r="M20" s="182">
        <v>41091</v>
      </c>
      <c r="N20" s="182">
        <v>44742</v>
      </c>
      <c r="O20" s="183">
        <v>420</v>
      </c>
      <c r="P20" s="174"/>
      <c r="Q20" s="174">
        <f t="shared" si="0"/>
        <v>420</v>
      </c>
      <c r="R20" s="189">
        <v>0</v>
      </c>
      <c r="S20" s="190">
        <f>SUMIFS(MasterTable[Arrears + All Contractual Commitments (value next FY)],MasterTable[[Project Code and Name ]],PAProjects[[#This Row],[LINKING_CODE]],MasterTable[Funding Source],"GoU Funded")/10^9</f>
        <v>64.8</v>
      </c>
      <c r="T20" s="190">
        <f>SUMIFS(MasterTable[Arrears + All Contractual Commitments (value next FY)],MasterTable[[Project Code and Name ]],PAProjects[[#This Row],[LINKING_CODE]],MasterTable[Funding Source],"External Financing")/10^9</f>
        <v>0</v>
      </c>
      <c r="U20" s="191">
        <f>PAProjects[[#This Row],[GOU 21/22]]+PAProjects[[#This Row],[DONOR 21/22]]</f>
        <v>64.8</v>
      </c>
      <c r="V20" s="192">
        <f>SUMIFS(MasterTable[FY1 (FY22-23)],MasterTable[[Project Code and Name ]],PAProjects[[#This Row],[LINKING_CODE]],MasterTable[Funding Source],"GoU Funded")/10^9</f>
        <v>0</v>
      </c>
      <c r="W20" s="193">
        <f>SUMIFS(MasterTable[FY1 (FY22-23)],MasterTable[[Project Code and Name ]],PAProjects[[#This Row],[LINKING_CODE]],MasterTable[Funding Source],"External Financing")/10^9</f>
        <v>0</v>
      </c>
      <c r="X20" s="191">
        <f>PAProjects[[#This Row],[GOU 22/23]]+PAProjects[[#This Row],[DONOR 22/23]]</f>
        <v>0</v>
      </c>
      <c r="Y20" s="193">
        <f>SUMIFS(MasterTable[FY2 (FY23-24)],MasterTable[[Project Code and Name ]],PAProjects[[#This Row],[LINKING_CODE]],MasterTable[Funding Source],"GoU Funded")/10^9</f>
        <v>0</v>
      </c>
      <c r="Z20" s="193">
        <f>SUMIFS(MasterTable[FY2 (FY23-24)],MasterTable[[Project Code and Name ]],PAProjects[[#This Row],[LINKING_CODE]],MasterTable[Funding Source],"External Financing")/10^9</f>
        <v>0</v>
      </c>
      <c r="AA20" s="175"/>
      <c r="AB20" s="193">
        <f>SUMIFS(MasterTable[FY3 (FY24-25)],MasterTable[[Project Code and Name ]],PAProjects[[#This Row],[LINKING_CODE]],MasterTable[Funding Source],"GoU Funded")/10^9</f>
        <v>0</v>
      </c>
      <c r="AC20" s="193">
        <f>SUMIFS(MasterTable[FY3 (FY24-25)],MasterTable[[Project Code and Name ]],PAProjects[[#This Row],[LINKING_CODE]],MasterTable[Funding Source],"External Financing")/10^9</f>
        <v>0</v>
      </c>
      <c r="AD20" s="191">
        <f>PAProjects[[#This Row],[GOU 24/25]]+PAProjects[[#This Row],[DONOR 24/25]]</f>
        <v>0</v>
      </c>
    </row>
    <row r="21" spans="1:30" ht="15" customHeight="1" x14ac:dyDescent="0.25">
      <c r="A21" s="180" t="s">
        <v>537</v>
      </c>
      <c r="B21" s="175" t="s">
        <v>88</v>
      </c>
      <c r="C21" s="175" t="e">
        <f ca="1">PAProjects[[#This Row],[LINKING_CODE]]=_xlfn.CONCAT(PAProjects[[#This Row],[Project Code]]," ",PAProjects[[#This Row],[Project Name]])</f>
        <v>#NAME?</v>
      </c>
      <c r="D21" s="175" t="str">
        <f>VLOOKUP(PAProjects[[#This Row],[LINKING_CODE]],MasterTable[[Project Code and Name ]],1,FALSE)</f>
        <v>1243 Rehabilitation and Construction of General Hospitals</v>
      </c>
      <c r="E21" s="175" t="s">
        <v>520</v>
      </c>
      <c r="F21" s="175" t="s">
        <v>975</v>
      </c>
      <c r="G21" s="175" t="s">
        <v>97</v>
      </c>
      <c r="H21" s="175" t="str">
        <f>VLOOKUP(I21,'Program Codes'!C:D,2,FALSE)</f>
        <v>06</v>
      </c>
      <c r="I21" s="175" t="s">
        <v>962</v>
      </c>
      <c r="J21" s="175" t="s">
        <v>699</v>
      </c>
      <c r="K21" s="175" t="s">
        <v>700</v>
      </c>
      <c r="L21" s="175" t="s">
        <v>1509</v>
      </c>
      <c r="M21" s="182">
        <v>41091</v>
      </c>
      <c r="N21" s="182">
        <v>44742</v>
      </c>
      <c r="O21" s="183">
        <v>112</v>
      </c>
      <c r="P21" s="174"/>
      <c r="Q21" s="174">
        <f t="shared" si="0"/>
        <v>112</v>
      </c>
      <c r="R21" s="189">
        <v>0</v>
      </c>
      <c r="S21" s="190">
        <f>SUMIFS(MasterTable[Arrears + All Contractual Commitments (value next FY)],MasterTable[[Project Code and Name ]],PAProjects[[#This Row],[LINKING_CODE]],MasterTable[Funding Source],"GoU Funded")/10^9</f>
        <v>3.84</v>
      </c>
      <c r="T21" s="190">
        <f>SUMIFS(MasterTable[Arrears + All Contractual Commitments (value next FY)],MasterTable[[Project Code and Name ]],PAProjects[[#This Row],[LINKING_CODE]],MasterTable[Funding Source],"External Financing")/10^9</f>
        <v>9.2899999999999991</v>
      </c>
      <c r="U21" s="191">
        <f>PAProjects[[#This Row],[GOU 21/22]]+PAProjects[[#This Row],[DONOR 21/22]]</f>
        <v>13.129999999999999</v>
      </c>
      <c r="V21" s="192">
        <f>SUMIFS(MasterTable[FY1 (FY22-23)],MasterTable[[Project Code and Name ]],PAProjects[[#This Row],[LINKING_CODE]],MasterTable[Funding Source],"GoU Funded")/10^9</f>
        <v>0</v>
      </c>
      <c r="W21" s="193">
        <f>SUMIFS(MasterTable[FY1 (FY22-23)],MasterTable[[Project Code and Name ]],PAProjects[[#This Row],[LINKING_CODE]],MasterTable[Funding Source],"External Financing")/10^9</f>
        <v>0</v>
      </c>
      <c r="X21" s="191">
        <f>PAProjects[[#This Row],[GOU 22/23]]+PAProjects[[#This Row],[DONOR 22/23]]</f>
        <v>0</v>
      </c>
      <c r="Y21" s="193">
        <f>SUMIFS(MasterTable[FY2 (FY23-24)],MasterTable[[Project Code and Name ]],PAProjects[[#This Row],[LINKING_CODE]],MasterTable[Funding Source],"GoU Funded")/10^9</f>
        <v>0</v>
      </c>
      <c r="Z21" s="193">
        <f>SUMIFS(MasterTable[FY2 (FY23-24)],MasterTable[[Project Code and Name ]],PAProjects[[#This Row],[LINKING_CODE]],MasterTable[Funding Source],"External Financing")/10^9</f>
        <v>0</v>
      </c>
      <c r="AA21" s="175">
        <f t="shared" ref="AA21:AA50" si="2">Y21+Z21</f>
        <v>0</v>
      </c>
      <c r="AB21" s="193">
        <f>SUMIFS(MasterTable[FY3 (FY24-25)],MasterTable[[Project Code and Name ]],PAProjects[[#This Row],[LINKING_CODE]],MasterTable[Funding Source],"GoU Funded")/10^9</f>
        <v>0</v>
      </c>
      <c r="AC21" s="193">
        <f>SUMIFS(MasterTable[FY3 (FY24-25)],MasterTable[[Project Code and Name ]],PAProjects[[#This Row],[LINKING_CODE]],MasterTable[Funding Source],"External Financing")/10^9</f>
        <v>0</v>
      </c>
      <c r="AD21" s="191">
        <f>PAProjects[[#This Row],[GOU 24/25]]+PAProjects[[#This Row],[DONOR 24/25]]</f>
        <v>0</v>
      </c>
    </row>
    <row r="22" spans="1:30" ht="15" customHeight="1" x14ac:dyDescent="0.25">
      <c r="A22" s="180" t="s">
        <v>538</v>
      </c>
      <c r="B22" s="175" t="s">
        <v>43</v>
      </c>
      <c r="C22" s="175" t="e">
        <f ca="1">PAProjects[[#This Row],[LINKING_CODE]]=_xlfn.CONCAT(PAProjects[[#This Row],[Project Code]]," ",PAProjects[[#This Row],[Project Name]])</f>
        <v>#NAME?</v>
      </c>
      <c r="D22" s="175" t="str">
        <f>VLOOKUP(PAProjects[[#This Row],[LINKING_CODE]],MasterTable[[Project Code and Name ]],1,FALSE)</f>
        <v>1259 Kampala-Entebbe Expansion Project</v>
      </c>
      <c r="E22" s="175" t="s">
        <v>513</v>
      </c>
      <c r="F22" s="175" t="s">
        <v>1089</v>
      </c>
      <c r="G22" s="175" t="s">
        <v>66</v>
      </c>
      <c r="H22" s="175" t="str">
        <f>VLOOKUP(I22,'Program Codes'!C:D,2,FALSE)</f>
        <v>15</v>
      </c>
      <c r="I22" s="175" t="s">
        <v>1251</v>
      </c>
      <c r="J22" s="175" t="s">
        <v>1244</v>
      </c>
      <c r="K22" s="175" t="s">
        <v>1245</v>
      </c>
      <c r="L22" s="175" t="s">
        <v>1509</v>
      </c>
      <c r="M22" s="182">
        <v>41456</v>
      </c>
      <c r="N22" s="182">
        <v>44742</v>
      </c>
      <c r="O22" s="198">
        <v>88.7</v>
      </c>
      <c r="P22" s="199">
        <v>70.97</v>
      </c>
      <c r="Q22" s="174">
        <f t="shared" si="0"/>
        <v>159.67000000000002</v>
      </c>
      <c r="R22" s="189">
        <v>0</v>
      </c>
      <c r="S22" s="190">
        <f>SUMIFS(MasterTable[Arrears + All Contractual Commitments (value next FY)],MasterTable[[Project Code and Name ]],PAProjects[[#This Row],[LINKING_CODE]],MasterTable[Funding Source],"GoU Funded")/10^9</f>
        <v>6.6</v>
      </c>
      <c r="T22" s="190">
        <f>SUMIFS(MasterTable[Arrears + All Contractual Commitments (value next FY)],MasterTable[[Project Code and Name ]],PAProjects[[#This Row],[LINKING_CODE]],MasterTable[Funding Source],"External Financing")/10^9</f>
        <v>7.69</v>
      </c>
      <c r="U22" s="196">
        <f>PAProjects[[#This Row],[GOU 21/22]]+PAProjects[[#This Row],[DONOR 21/22]]</f>
        <v>14.29</v>
      </c>
      <c r="V22" s="192">
        <f>SUMIFS(MasterTable[FY1 (FY22-23)],MasterTable[[Project Code and Name ]],PAProjects[[#This Row],[LINKING_CODE]],MasterTable[Funding Source],"GoU Funded")/10^9</f>
        <v>0</v>
      </c>
      <c r="W22" s="193">
        <f>SUMIFS(MasterTable[FY1 (FY22-23)],MasterTable[[Project Code and Name ]],PAProjects[[#This Row],[LINKING_CODE]],MasterTable[Funding Source],"External Financing")/10^9</f>
        <v>0</v>
      </c>
      <c r="X22" s="191">
        <f>PAProjects[[#This Row],[GOU 22/23]]+PAProjects[[#This Row],[DONOR 22/23]]</f>
        <v>0</v>
      </c>
      <c r="Y22" s="193">
        <f>SUMIFS(MasterTable[FY2 (FY23-24)],MasterTable[[Project Code and Name ]],PAProjects[[#This Row],[LINKING_CODE]],MasterTable[Funding Source],"GoU Funded")/10^9</f>
        <v>0</v>
      </c>
      <c r="Z22" s="193">
        <f>SUMIFS(MasterTable[FY2 (FY23-24)],MasterTable[[Project Code and Name ]],PAProjects[[#This Row],[LINKING_CODE]],MasterTable[Funding Source],"External Financing")/10^9</f>
        <v>0</v>
      </c>
      <c r="AA22" s="175">
        <f t="shared" si="2"/>
        <v>0</v>
      </c>
      <c r="AB22" s="193">
        <f>SUMIFS(MasterTable[FY3 (FY24-25)],MasterTable[[Project Code and Name ]],PAProjects[[#This Row],[LINKING_CODE]],MasterTable[Funding Source],"GoU Funded")/10^9</f>
        <v>0</v>
      </c>
      <c r="AC22" s="193">
        <f>SUMIFS(MasterTable[FY3 (FY24-25)],MasterTable[[Project Code and Name ]],PAProjects[[#This Row],[LINKING_CODE]],MasterTable[Funding Source],"External Financing")/10^9</f>
        <v>0</v>
      </c>
      <c r="AD22" s="191">
        <f>PAProjects[[#This Row],[GOU 24/25]]+PAProjects[[#This Row],[DONOR 24/25]]</f>
        <v>0</v>
      </c>
    </row>
    <row r="23" spans="1:30" ht="15" customHeight="1" x14ac:dyDescent="0.25">
      <c r="A23" s="180" t="s">
        <v>540</v>
      </c>
      <c r="B23" s="175" t="s">
        <v>474</v>
      </c>
      <c r="C23" s="175" t="e">
        <f ca="1">PAProjects[[#This Row],[LINKING_CODE]]=_xlfn.CONCAT(PAProjects[[#This Row],[Project Code]]," ",PAProjects[[#This Row],[Project Name]])</f>
        <v>#NAME?</v>
      </c>
      <c r="D23" s="175" t="str">
        <f>VLOOKUP(PAProjects[[#This Row],[LINKING_CODE]],MasterTable[[Project Code and Name ]],1,FALSE)</f>
        <v>1262 Rural Electrification Project</v>
      </c>
      <c r="E23" s="175" t="s">
        <v>513</v>
      </c>
      <c r="F23" s="175" t="s">
        <v>1089</v>
      </c>
      <c r="G23" s="175" t="s">
        <v>123</v>
      </c>
      <c r="H23" s="175" t="str">
        <f>VLOOKUP(I23,'Program Codes'!C:D,2,FALSE)</f>
        <v>15</v>
      </c>
      <c r="I23" s="175" t="s">
        <v>1251</v>
      </c>
      <c r="J23" s="175" t="s">
        <v>1261</v>
      </c>
      <c r="K23" s="175" t="s">
        <v>562</v>
      </c>
      <c r="L23" s="175" t="s">
        <v>1509</v>
      </c>
      <c r="M23" s="182">
        <v>41456</v>
      </c>
      <c r="N23" s="182">
        <v>45107</v>
      </c>
      <c r="O23" s="198">
        <v>156.39500000000001</v>
      </c>
      <c r="P23" s="174"/>
      <c r="Q23" s="174">
        <f t="shared" si="0"/>
        <v>156.39500000000001</v>
      </c>
      <c r="R23" s="189">
        <v>0</v>
      </c>
      <c r="S23" s="190">
        <f>SUMIFS(MasterTable[Arrears + All Contractual Commitments (value next FY)],MasterTable[[Project Code and Name ]],PAProjects[[#This Row],[LINKING_CODE]],MasterTable[Funding Source],"GoU Funded")/10^9</f>
        <v>221.14</v>
      </c>
      <c r="T23" s="190">
        <f>SUMIFS(MasterTable[Arrears + All Contractual Commitments (value next FY)],MasterTable[[Project Code and Name ]],PAProjects[[#This Row],[LINKING_CODE]],MasterTable[Funding Source],"External Financing")/10^9</f>
        <v>18.5</v>
      </c>
      <c r="U23" s="191">
        <f>PAProjects[[#This Row],[GOU 21/22]]+PAProjects[[#This Row],[DONOR 21/22]]</f>
        <v>239.64</v>
      </c>
      <c r="V23" s="192">
        <f>SUMIFS(MasterTable[FY1 (FY22-23)],MasterTable[[Project Code and Name ]],PAProjects[[#This Row],[LINKING_CODE]],MasterTable[Funding Source],"GoU Funded")/10^9</f>
        <v>128.13999999999999</v>
      </c>
      <c r="W23" s="193">
        <f>SUMIFS(MasterTable[FY1 (FY22-23)],MasterTable[[Project Code and Name ]],PAProjects[[#This Row],[LINKING_CODE]],MasterTable[Funding Source],"External Financing")/10^9</f>
        <v>3.7</v>
      </c>
      <c r="X23" s="191">
        <f>PAProjects[[#This Row],[GOU 22/23]]+PAProjects[[#This Row],[DONOR 22/23]]</f>
        <v>131.83999999999997</v>
      </c>
      <c r="Y23" s="193">
        <f>SUMIFS(MasterTable[FY2 (FY23-24)],MasterTable[[Project Code and Name ]],PAProjects[[#This Row],[LINKING_CODE]],MasterTable[Funding Source],"GoU Funded")/10^9</f>
        <v>0</v>
      </c>
      <c r="Z23" s="193">
        <f>SUMIFS(MasterTable[FY2 (FY23-24)],MasterTable[[Project Code and Name ]],PAProjects[[#This Row],[LINKING_CODE]],MasterTable[Funding Source],"External Financing")/10^9</f>
        <v>0</v>
      </c>
      <c r="AA23" s="175">
        <f t="shared" si="2"/>
        <v>0</v>
      </c>
      <c r="AB23" s="193">
        <f>SUMIFS(MasterTable[FY3 (FY24-25)],MasterTable[[Project Code and Name ]],PAProjects[[#This Row],[LINKING_CODE]],MasterTable[Funding Source],"GoU Funded")/10^9</f>
        <v>0</v>
      </c>
      <c r="AC23" s="193">
        <f>SUMIFS(MasterTable[FY3 (FY24-25)],MasterTable[[Project Code and Name ]],PAProjects[[#This Row],[LINKING_CODE]],MasterTable[Funding Source],"External Financing")/10^9</f>
        <v>0</v>
      </c>
      <c r="AD23" s="191">
        <f>PAProjects[[#This Row],[GOU 24/25]]+PAProjects[[#This Row],[DONOR 24/25]]</f>
        <v>0</v>
      </c>
    </row>
    <row r="24" spans="1:30" ht="15" customHeight="1" x14ac:dyDescent="0.25">
      <c r="A24" s="180" t="s">
        <v>542</v>
      </c>
      <c r="B24" s="175" t="s">
        <v>390</v>
      </c>
      <c r="C24" s="175" t="e">
        <f ca="1">PAProjects[[#This Row],[LINKING_CODE]]=_xlfn.CONCAT(PAProjects[[#This Row],[Project Code]]," ",PAProjects[[#This Row],[Project Name]])</f>
        <v>#NAME?</v>
      </c>
      <c r="D24" s="175" t="str">
        <f>VLOOKUP(PAProjects[[#This Row],[LINKING_CODE]],MasterTable[[Project Code and Name ]],1,FALSE)</f>
        <v>1274 Musita-Lumino-Busia/Majanji Road</v>
      </c>
      <c r="E24" s="175" t="s">
        <v>515</v>
      </c>
      <c r="F24" s="175" t="s">
        <v>944</v>
      </c>
      <c r="G24" s="175" t="s">
        <v>113</v>
      </c>
      <c r="H24" s="175" t="str">
        <f>VLOOKUP(I24,'Program Codes'!C:D,2,FALSE)</f>
        <v>08</v>
      </c>
      <c r="I24" s="175" t="s">
        <v>1007</v>
      </c>
      <c r="J24" s="175" t="s">
        <v>1039</v>
      </c>
      <c r="K24" s="175" t="s">
        <v>594</v>
      </c>
      <c r="L24" s="175" t="s">
        <v>1509</v>
      </c>
      <c r="M24" s="188">
        <v>42917</v>
      </c>
      <c r="N24" s="182">
        <v>44742</v>
      </c>
      <c r="O24" s="183">
        <v>350.142</v>
      </c>
      <c r="P24" s="174"/>
      <c r="Q24" s="174">
        <f t="shared" si="0"/>
        <v>350.142</v>
      </c>
      <c r="R24" s="189">
        <v>22.07616664</v>
      </c>
      <c r="S24" s="190">
        <f>SUMIFS(MasterTable[Arrears + All Contractual Commitments (value next FY)],MasterTable[[Project Code and Name ]],PAProjects[[#This Row],[LINKING_CODE]],MasterTable[Funding Source],"GoU Funded")/10^9</f>
        <v>40.676166639999998</v>
      </c>
      <c r="T24" s="190">
        <f>SUMIFS(MasterTable[Arrears + All Contractual Commitments (value next FY)],MasterTable[[Project Code and Name ]],PAProjects[[#This Row],[LINKING_CODE]],MasterTable[Funding Source],"External Financing")/10^9</f>
        <v>0</v>
      </c>
      <c r="U24" s="191">
        <f>PAProjects[[#This Row],[GOU 21/22]]+PAProjects[[#This Row],[DONOR 21/22]]</f>
        <v>40.676166639999998</v>
      </c>
      <c r="V24" s="192">
        <f>SUMIFS(MasterTable[FY1 (FY22-23)],MasterTable[[Project Code and Name ]],PAProjects[[#This Row],[LINKING_CODE]],MasterTable[Funding Source],"GoU Funded")/10^9</f>
        <v>27.9</v>
      </c>
      <c r="W24" s="193">
        <f>SUMIFS(MasterTable[FY1 (FY22-23)],MasterTable[[Project Code and Name ]],PAProjects[[#This Row],[LINKING_CODE]],MasterTable[Funding Source],"External Financing")/10^9</f>
        <v>0</v>
      </c>
      <c r="X24" s="191">
        <f>PAProjects[[#This Row],[GOU 22/23]]+PAProjects[[#This Row],[DONOR 22/23]]</f>
        <v>27.9</v>
      </c>
      <c r="Y24" s="193">
        <f>SUMIFS(MasterTable[FY2 (FY23-24)],MasterTable[[Project Code and Name ]],PAProjects[[#This Row],[LINKING_CODE]],MasterTable[Funding Source],"GoU Funded")/10^9</f>
        <v>0</v>
      </c>
      <c r="Z24" s="193">
        <f>SUMIFS(MasterTable[FY2 (FY23-24)],MasterTable[[Project Code and Name ]],PAProjects[[#This Row],[LINKING_CODE]],MasterTable[Funding Source],"External Financing")/10^9</f>
        <v>0</v>
      </c>
      <c r="AA24" s="175">
        <f t="shared" si="2"/>
        <v>0</v>
      </c>
      <c r="AB24" s="193">
        <f>SUMIFS(MasterTable[FY3 (FY24-25)],MasterTable[[Project Code and Name ]],PAProjects[[#This Row],[LINKING_CODE]],MasterTable[Funding Source],"GoU Funded")/10^9</f>
        <v>0</v>
      </c>
      <c r="AC24" s="193">
        <f>SUMIFS(MasterTable[FY3 (FY24-25)],MasterTable[[Project Code and Name ]],PAProjects[[#This Row],[LINKING_CODE]],MasterTable[Funding Source],"External Financing")/10^9</f>
        <v>0</v>
      </c>
      <c r="AD24" s="191">
        <f>PAProjects[[#This Row],[GOU 24/25]]+PAProjects[[#This Row],[DONOR 24/25]]</f>
        <v>0</v>
      </c>
    </row>
    <row r="25" spans="1:30" ht="15" customHeight="1" x14ac:dyDescent="0.25">
      <c r="A25" s="180" t="s">
        <v>544</v>
      </c>
      <c r="B25" s="175" t="s">
        <v>392</v>
      </c>
      <c r="C25" s="175" t="e">
        <f ca="1">PAProjects[[#This Row],[LINKING_CODE]]=_xlfn.CONCAT(PAProjects[[#This Row],[Project Code]]," ",PAProjects[[#This Row],[Project Name]])</f>
        <v>#NAME?</v>
      </c>
      <c r="D25" s="175" t="str">
        <f>VLOOKUP(PAProjects[[#This Row],[LINKING_CODE]],MasterTable[[Project Code and Name ]],1,FALSE)</f>
        <v>1275 Olwiyo-Gulu-Kitgum Road</v>
      </c>
      <c r="E25" s="175" t="s">
        <v>515</v>
      </c>
      <c r="F25" s="175" t="s">
        <v>944</v>
      </c>
      <c r="G25" s="175" t="s">
        <v>113</v>
      </c>
      <c r="H25" s="175" t="str">
        <f>VLOOKUP(I25,'Program Codes'!C:D,2,FALSE)</f>
        <v>08</v>
      </c>
      <c r="I25" s="175" t="s">
        <v>1007</v>
      </c>
      <c r="J25" s="175" t="s">
        <v>1040</v>
      </c>
      <c r="K25" s="175" t="s">
        <v>1041</v>
      </c>
      <c r="L25" s="175" t="s">
        <v>1509</v>
      </c>
      <c r="M25" s="188">
        <v>41729</v>
      </c>
      <c r="N25" s="182">
        <v>44742</v>
      </c>
      <c r="O25" s="183">
        <v>587.60900000000004</v>
      </c>
      <c r="P25" s="174"/>
      <c r="Q25" s="174">
        <f t="shared" si="0"/>
        <v>587.60900000000004</v>
      </c>
      <c r="R25" s="189">
        <v>10.84957942</v>
      </c>
      <c r="S25" s="190">
        <f>SUMIFS(MasterTable[Arrears + All Contractual Commitments (value next FY)],MasterTable[[Project Code and Name ]],PAProjects[[#This Row],[LINKING_CODE]],MasterTable[Funding Source],"GoU Funded")/10^9</f>
        <v>54.473733328999998</v>
      </c>
      <c r="T25" s="190">
        <f>SUMIFS(MasterTable[Arrears + All Contractual Commitments (value next FY)],MasterTable[[Project Code and Name ]],PAProjects[[#This Row],[LINKING_CODE]],MasterTable[Funding Source],"External Financing")/10^9</f>
        <v>0</v>
      </c>
      <c r="U25" s="191">
        <f>PAProjects[[#This Row],[GOU 21/22]]+PAProjects[[#This Row],[DONOR 21/22]]</f>
        <v>54.473733328999998</v>
      </c>
      <c r="V25" s="192">
        <f>SUMIFS(MasterTable[FY1 (FY22-23)],MasterTable[[Project Code and Name ]],PAProjects[[#This Row],[LINKING_CODE]],MasterTable[Funding Source],"GoU Funded")/10^9</f>
        <v>0</v>
      </c>
      <c r="W25" s="193">
        <f>SUMIFS(MasterTable[FY1 (FY22-23)],MasterTable[[Project Code and Name ]],PAProjects[[#This Row],[LINKING_CODE]],MasterTable[Funding Source],"External Financing")/10^9</f>
        <v>0</v>
      </c>
      <c r="X25" s="191">
        <f>PAProjects[[#This Row],[GOU 22/23]]+PAProjects[[#This Row],[DONOR 22/23]]</f>
        <v>0</v>
      </c>
      <c r="Y25" s="193">
        <f>SUMIFS(MasterTable[FY2 (FY23-24)],MasterTable[[Project Code and Name ]],PAProjects[[#This Row],[LINKING_CODE]],MasterTable[Funding Source],"GoU Funded")/10^9</f>
        <v>0</v>
      </c>
      <c r="Z25" s="193">
        <f>SUMIFS(MasterTable[FY2 (FY23-24)],MasterTable[[Project Code and Name ]],PAProjects[[#This Row],[LINKING_CODE]],MasterTable[Funding Source],"External Financing")/10^9</f>
        <v>0</v>
      </c>
      <c r="AA25" s="175">
        <f t="shared" si="2"/>
        <v>0</v>
      </c>
      <c r="AB25" s="193">
        <f>SUMIFS(MasterTable[FY3 (FY24-25)],MasterTable[[Project Code and Name ]],PAProjects[[#This Row],[LINKING_CODE]],MasterTable[Funding Source],"GoU Funded")/10^9</f>
        <v>0</v>
      </c>
      <c r="AC25" s="193">
        <f>SUMIFS(MasterTable[FY3 (FY24-25)],MasterTable[[Project Code and Name ]],PAProjects[[#This Row],[LINKING_CODE]],MasterTable[Funding Source],"External Financing")/10^9</f>
        <v>0</v>
      </c>
      <c r="AD25" s="191">
        <f>PAProjects[[#This Row],[GOU 24/25]]+PAProjects[[#This Row],[DONOR 24/25]]</f>
        <v>0</v>
      </c>
    </row>
    <row r="26" spans="1:30" ht="15" customHeight="1" x14ac:dyDescent="0.25">
      <c r="A26" s="180" t="s">
        <v>545</v>
      </c>
      <c r="B26" s="175" t="s">
        <v>393</v>
      </c>
      <c r="C26" s="175" t="e">
        <f ca="1">PAProjects[[#This Row],[LINKING_CODE]]=_xlfn.CONCAT(PAProjects[[#This Row],[Project Code]]," ",PAProjects[[#This Row],[Project Name]])</f>
        <v>#NAME?</v>
      </c>
      <c r="D26" s="175" t="str">
        <f>VLOOKUP(PAProjects[[#This Row],[LINKING_CODE]],MasterTable[[Project Code and Name ]],1,FALSE)</f>
        <v>1276 Mubende-Kakumiro-Kagadi Road</v>
      </c>
      <c r="E26" s="175" t="s">
        <v>515</v>
      </c>
      <c r="F26" s="175" t="s">
        <v>944</v>
      </c>
      <c r="G26" s="175" t="s">
        <v>113</v>
      </c>
      <c r="H26" s="175" t="str">
        <f>VLOOKUP(I26,'Program Codes'!C:D,2,FALSE)</f>
        <v>08</v>
      </c>
      <c r="I26" s="175" t="s">
        <v>1007</v>
      </c>
      <c r="J26" s="175" t="s">
        <v>1042</v>
      </c>
      <c r="K26" s="175" t="s">
        <v>1043</v>
      </c>
      <c r="L26" s="175" t="s">
        <v>1509</v>
      </c>
      <c r="M26" s="188">
        <v>41729</v>
      </c>
      <c r="N26" s="182">
        <v>44742</v>
      </c>
      <c r="O26" s="183">
        <v>486.06900000000002</v>
      </c>
      <c r="P26" s="174"/>
      <c r="Q26" s="174">
        <f t="shared" si="0"/>
        <v>486.06900000000002</v>
      </c>
      <c r="R26" s="189">
        <v>41.501567440000002</v>
      </c>
      <c r="S26" s="190">
        <f>SUMIFS(MasterTable[Arrears + All Contractual Commitments (value next FY)],MasterTable[[Project Code and Name ]],PAProjects[[#This Row],[LINKING_CODE]],MasterTable[Funding Source],"GoU Funded")/10^9</f>
        <v>43.933567439999997</v>
      </c>
      <c r="T26" s="190">
        <f>SUMIFS(MasterTable[Arrears + All Contractual Commitments (value next FY)],MasterTable[[Project Code and Name ]],PAProjects[[#This Row],[LINKING_CODE]],MasterTable[Funding Source],"External Financing")/10^9</f>
        <v>0</v>
      </c>
      <c r="U26" s="191">
        <f>PAProjects[[#This Row],[GOU 21/22]]+PAProjects[[#This Row],[DONOR 21/22]]</f>
        <v>43.933567439999997</v>
      </c>
      <c r="V26" s="192">
        <f>SUMIFS(MasterTable[FY1 (FY22-23)],MasterTable[[Project Code and Name ]],PAProjects[[#This Row],[LINKING_CODE]],MasterTable[Funding Source],"GoU Funded")/10^9</f>
        <v>0</v>
      </c>
      <c r="W26" s="193">
        <f>SUMIFS(MasterTable[FY1 (FY22-23)],MasterTable[[Project Code and Name ]],PAProjects[[#This Row],[LINKING_CODE]],MasterTable[Funding Source],"External Financing")/10^9</f>
        <v>0</v>
      </c>
      <c r="X26" s="191">
        <f>PAProjects[[#This Row],[GOU 22/23]]+PAProjects[[#This Row],[DONOR 22/23]]</f>
        <v>0</v>
      </c>
      <c r="Y26" s="193">
        <f>SUMIFS(MasterTable[FY2 (FY23-24)],MasterTable[[Project Code and Name ]],PAProjects[[#This Row],[LINKING_CODE]],MasterTable[Funding Source],"GoU Funded")/10^9</f>
        <v>0</v>
      </c>
      <c r="Z26" s="193">
        <f>SUMIFS(MasterTable[FY2 (FY23-24)],MasterTable[[Project Code and Name ]],PAProjects[[#This Row],[LINKING_CODE]],MasterTable[Funding Source],"External Financing")/10^9</f>
        <v>0</v>
      </c>
      <c r="AA26" s="175">
        <f t="shared" si="2"/>
        <v>0</v>
      </c>
      <c r="AB26" s="193">
        <f>SUMIFS(MasterTable[FY3 (FY24-25)],MasterTable[[Project Code and Name ]],PAProjects[[#This Row],[LINKING_CODE]],MasterTable[Funding Source],"GoU Funded")/10^9</f>
        <v>0</v>
      </c>
      <c r="AC26" s="193">
        <f>SUMIFS(MasterTable[FY3 (FY24-25)],MasterTable[[Project Code and Name ]],PAProjects[[#This Row],[LINKING_CODE]],MasterTable[Funding Source],"External Financing")/10^9</f>
        <v>0</v>
      </c>
      <c r="AD26" s="191">
        <f>PAProjects[[#This Row],[GOU 24/25]]+PAProjects[[#This Row],[DONOR 24/25]]</f>
        <v>0</v>
      </c>
    </row>
    <row r="27" spans="1:30" ht="15" customHeight="1" x14ac:dyDescent="0.25">
      <c r="A27" s="180" t="s">
        <v>546</v>
      </c>
      <c r="B27" s="175" t="s">
        <v>394</v>
      </c>
      <c r="C27" s="175" t="e">
        <f ca="1">PAProjects[[#This Row],[LINKING_CODE]]=_xlfn.CONCAT(PAProjects[[#This Row],[Project Code]]," ",PAProjects[[#This Row],[Project Name]])</f>
        <v>#NAME?</v>
      </c>
      <c r="D27" s="175" t="str">
        <f>VLOOKUP(PAProjects[[#This Row],[LINKING_CODE]],MasterTable[[Project Code and Name ]],1,FALSE)</f>
        <v>1277 Kampala Northern Bypass Phase 2</v>
      </c>
      <c r="E27" s="175" t="s">
        <v>515</v>
      </c>
      <c r="F27" s="175" t="s">
        <v>944</v>
      </c>
      <c r="G27" s="175" t="s">
        <v>113</v>
      </c>
      <c r="H27" s="175" t="str">
        <f>VLOOKUP(I27,'Program Codes'!C:D,2,FALSE)</f>
        <v>08</v>
      </c>
      <c r="I27" s="175" t="s">
        <v>1007</v>
      </c>
      <c r="J27" s="175" t="s">
        <v>1044</v>
      </c>
      <c r="K27" s="175" t="s">
        <v>1045</v>
      </c>
      <c r="L27" s="175" t="s">
        <v>1509</v>
      </c>
      <c r="M27" s="188">
        <v>41729</v>
      </c>
      <c r="N27" s="182">
        <v>45107</v>
      </c>
      <c r="O27" s="183">
        <v>415.63</v>
      </c>
      <c r="P27" s="184">
        <v>12</v>
      </c>
      <c r="Q27" s="174">
        <f t="shared" si="0"/>
        <v>427.63</v>
      </c>
      <c r="R27" s="189">
        <v>50.238770926000001</v>
      </c>
      <c r="S27" s="190">
        <f>SUMIFS(MasterTable[Arrears + All Contractual Commitments (value next FY)],MasterTable[[Project Code and Name ]],PAProjects[[#This Row],[LINKING_CODE]],MasterTable[Funding Source],"GoU Funded")/10^9</f>
        <v>84.123170926</v>
      </c>
      <c r="T27" s="190">
        <f>SUMIFS(MasterTable[Arrears + All Contractual Commitments (value next FY)],MasterTable[[Project Code and Name ]],PAProjects[[#This Row],[LINKING_CODE]],MasterTable[Funding Source],"External Financing")/10^9</f>
        <v>0</v>
      </c>
      <c r="U27" s="191">
        <f>PAProjects[[#This Row],[GOU 21/22]]+PAProjects[[#This Row],[DONOR 21/22]]</f>
        <v>84.123170926</v>
      </c>
      <c r="V27" s="192">
        <f>SUMIFS(MasterTable[FY1 (FY22-23)],MasterTable[[Project Code and Name ]],PAProjects[[#This Row],[LINKING_CODE]],MasterTable[Funding Source],"GoU Funded")/10^9</f>
        <v>0.75600000000000001</v>
      </c>
      <c r="W27" s="193">
        <f>SUMIFS(MasterTable[FY1 (FY22-23)],MasterTable[[Project Code and Name ]],PAProjects[[#This Row],[LINKING_CODE]],MasterTable[Funding Source],"External Financing")/10^9</f>
        <v>0</v>
      </c>
      <c r="X27" s="191">
        <f>PAProjects[[#This Row],[GOU 22/23]]+PAProjects[[#This Row],[DONOR 22/23]]</f>
        <v>0.75600000000000001</v>
      </c>
      <c r="Y27" s="193">
        <f>SUMIFS(MasterTable[FY2 (FY23-24)],MasterTable[[Project Code and Name ]],PAProjects[[#This Row],[LINKING_CODE]],MasterTable[Funding Source],"GoU Funded")/10^9</f>
        <v>0</v>
      </c>
      <c r="Z27" s="193">
        <f>SUMIFS(MasterTable[FY2 (FY23-24)],MasterTable[[Project Code and Name ]],PAProjects[[#This Row],[LINKING_CODE]],MasterTable[Funding Source],"External Financing")/10^9</f>
        <v>0</v>
      </c>
      <c r="AA27" s="175">
        <f t="shared" si="2"/>
        <v>0</v>
      </c>
      <c r="AB27" s="193">
        <f>SUMIFS(MasterTable[FY3 (FY24-25)],MasterTable[[Project Code and Name ]],PAProjects[[#This Row],[LINKING_CODE]],MasterTable[Funding Source],"GoU Funded")/10^9</f>
        <v>0</v>
      </c>
      <c r="AC27" s="193">
        <f>SUMIFS(MasterTable[FY3 (FY24-25)],MasterTable[[Project Code and Name ]],PAProjects[[#This Row],[LINKING_CODE]],MasterTable[Funding Source],"External Financing")/10^9</f>
        <v>0</v>
      </c>
      <c r="AD27" s="191">
        <f>PAProjects[[#This Row],[GOU 24/25]]+PAProjects[[#This Row],[DONOR 24/25]]</f>
        <v>0</v>
      </c>
    </row>
    <row r="28" spans="1:30" ht="15" customHeight="1" x14ac:dyDescent="0.25">
      <c r="A28" s="180" t="s">
        <v>548</v>
      </c>
      <c r="B28" s="175" t="s">
        <v>395</v>
      </c>
      <c r="C28" s="175" t="e">
        <f ca="1">PAProjects[[#This Row],[LINKING_CODE]]=_xlfn.CONCAT(PAProjects[[#This Row],[Project Code]]," ",PAProjects[[#This Row],[Project Name]])</f>
        <v>#NAME?</v>
      </c>
      <c r="D28" s="175" t="str">
        <f>VLOOKUP(PAProjects[[#This Row],[LINKING_CODE]],MasterTable[[Project Code and Name ]],1,FALSE)</f>
        <v>1279 Seeta-Kyaliwajjala-Matugga-Wakiso-Buloba-Nsangi</v>
      </c>
      <c r="E28" s="175" t="s">
        <v>515</v>
      </c>
      <c r="F28" s="175" t="s">
        <v>944</v>
      </c>
      <c r="G28" s="175" t="s">
        <v>113</v>
      </c>
      <c r="H28" s="175" t="str">
        <f>VLOOKUP(I28,'Program Codes'!C:D,2,FALSE)</f>
        <v>08</v>
      </c>
      <c r="I28" s="175" t="s">
        <v>1007</v>
      </c>
      <c r="J28" s="175" t="s">
        <v>1046</v>
      </c>
      <c r="K28" s="175" t="s">
        <v>1047</v>
      </c>
      <c r="L28" s="175" t="s">
        <v>1509</v>
      </c>
      <c r="M28" s="188">
        <v>41671</v>
      </c>
      <c r="N28" s="182">
        <v>45473</v>
      </c>
      <c r="O28" s="174">
        <v>120</v>
      </c>
      <c r="P28" s="174"/>
      <c r="Q28" s="174">
        <f t="shared" si="0"/>
        <v>120</v>
      </c>
      <c r="R28" s="189">
        <v>0</v>
      </c>
      <c r="S28" s="190">
        <f>SUMIFS(MasterTable[Arrears + All Contractual Commitments (value next FY)],MasterTable[[Project Code and Name ]],PAProjects[[#This Row],[LINKING_CODE]],MasterTable[Funding Source],"GoU Funded")/10^9</f>
        <v>86.666666665999998</v>
      </c>
      <c r="T28" s="190">
        <f>SUMIFS(MasterTable[Arrears + All Contractual Commitments (value next FY)],MasterTable[[Project Code and Name ]],PAProjects[[#This Row],[LINKING_CODE]],MasterTable[Funding Source],"External Financing")/10^9</f>
        <v>0</v>
      </c>
      <c r="U28" s="191">
        <f>PAProjects[[#This Row],[GOU 21/22]]+PAProjects[[#This Row],[DONOR 21/22]]</f>
        <v>86.666666665999998</v>
      </c>
      <c r="V28" s="192">
        <f>SUMIFS(MasterTable[FY1 (FY22-23)],MasterTable[[Project Code and Name ]],PAProjects[[#This Row],[LINKING_CODE]],MasterTable[Funding Source],"GoU Funded")/10^9</f>
        <v>70</v>
      </c>
      <c r="W28" s="193">
        <f>SUMIFS(MasterTable[FY1 (FY22-23)],MasterTable[[Project Code and Name ]],PAProjects[[#This Row],[LINKING_CODE]],MasterTable[Funding Source],"External Financing")/10^9</f>
        <v>0</v>
      </c>
      <c r="X28" s="191">
        <f>PAProjects[[#This Row],[GOU 22/23]]+PAProjects[[#This Row],[DONOR 22/23]]</f>
        <v>70</v>
      </c>
      <c r="Y28" s="193">
        <f>SUMIFS(MasterTable[FY2 (FY23-24)],MasterTable[[Project Code and Name ]],PAProjects[[#This Row],[LINKING_CODE]],MasterTable[Funding Source],"GoU Funded")/10^9</f>
        <v>70</v>
      </c>
      <c r="Z28" s="193">
        <f>SUMIFS(MasterTable[FY2 (FY23-24)],MasterTable[[Project Code and Name ]],PAProjects[[#This Row],[LINKING_CODE]],MasterTable[Funding Source],"External Financing")/10^9</f>
        <v>0</v>
      </c>
      <c r="AA28" s="194">
        <f t="shared" si="2"/>
        <v>70</v>
      </c>
      <c r="AB28" s="193">
        <f>SUMIFS(MasterTable[FY3 (FY24-25)],MasterTable[[Project Code and Name ]],PAProjects[[#This Row],[LINKING_CODE]],MasterTable[Funding Source],"GoU Funded")/10^9</f>
        <v>0</v>
      </c>
      <c r="AC28" s="193">
        <f>SUMIFS(MasterTable[FY3 (FY24-25)],MasterTable[[Project Code and Name ]],PAProjects[[#This Row],[LINKING_CODE]],MasterTable[Funding Source],"External Financing")/10^9</f>
        <v>0</v>
      </c>
      <c r="AD28" s="191">
        <f>PAProjects[[#This Row],[GOU 24/25]]+PAProjects[[#This Row],[DONOR 24/25]]</f>
        <v>0</v>
      </c>
    </row>
    <row r="29" spans="1:30" ht="15" customHeight="1" x14ac:dyDescent="0.25">
      <c r="A29" s="180" t="s">
        <v>549</v>
      </c>
      <c r="B29" s="175" t="s">
        <v>396</v>
      </c>
      <c r="C29" s="175" t="e">
        <f ca="1">PAProjects[[#This Row],[LINKING_CODE]]=_xlfn.CONCAT(PAProjects[[#This Row],[Project Code]]," ",PAProjects[[#This Row],[Project Name]])</f>
        <v>#NAME?</v>
      </c>
      <c r="D29" s="175" t="str">
        <f>VLOOKUP(PAProjects[[#This Row],[LINKING_CODE]],MasterTable[[Project Code and Name ]],1,FALSE)</f>
        <v>1280 Najjanankumbi-Busabala Road and Nambole-Namilyango-Seeta</v>
      </c>
      <c r="E29" s="175" t="s">
        <v>515</v>
      </c>
      <c r="F29" s="175" t="s">
        <v>944</v>
      </c>
      <c r="G29" s="175" t="s">
        <v>113</v>
      </c>
      <c r="H29" s="175" t="str">
        <f>VLOOKUP(I29,'Program Codes'!C:D,2,FALSE)</f>
        <v>08</v>
      </c>
      <c r="I29" s="175" t="s">
        <v>1007</v>
      </c>
      <c r="J29" s="175" t="s">
        <v>1048</v>
      </c>
      <c r="K29" s="175" t="s">
        <v>1049</v>
      </c>
      <c r="L29" s="175" t="s">
        <v>1509</v>
      </c>
      <c r="M29" s="188">
        <v>41672</v>
      </c>
      <c r="N29" s="182">
        <v>45107</v>
      </c>
      <c r="O29" s="174">
        <v>80</v>
      </c>
      <c r="P29" s="174"/>
      <c r="Q29" s="174">
        <f t="shared" si="0"/>
        <v>80</v>
      </c>
      <c r="R29" s="189">
        <v>0</v>
      </c>
      <c r="S29" s="190">
        <f>SUMIFS(MasterTable[Arrears + All Contractual Commitments (value next FY)],MasterTable[[Project Code and Name ]],PAProjects[[#This Row],[LINKING_CODE]],MasterTable[Funding Source],"GoU Funded")/10^9</f>
        <v>95</v>
      </c>
      <c r="T29" s="190">
        <f>SUMIFS(MasterTable[Arrears + All Contractual Commitments (value next FY)],MasterTable[[Project Code and Name ]],PAProjects[[#This Row],[LINKING_CODE]],MasterTable[Funding Source],"External Financing")/10^9</f>
        <v>0</v>
      </c>
      <c r="U29" s="191">
        <f>PAProjects[[#This Row],[GOU 21/22]]+PAProjects[[#This Row],[DONOR 21/22]]</f>
        <v>95</v>
      </c>
      <c r="V29" s="192">
        <f>SUMIFS(MasterTable[FY1 (FY22-23)],MasterTable[[Project Code and Name ]],PAProjects[[#This Row],[LINKING_CODE]],MasterTable[Funding Source],"GoU Funded")/10^9</f>
        <v>90</v>
      </c>
      <c r="W29" s="193">
        <f>SUMIFS(MasterTable[FY1 (FY22-23)],MasterTable[[Project Code and Name ]],PAProjects[[#This Row],[LINKING_CODE]],MasterTable[Funding Source],"External Financing")/10^9</f>
        <v>0</v>
      </c>
      <c r="X29" s="191">
        <f>PAProjects[[#This Row],[GOU 22/23]]+PAProjects[[#This Row],[DONOR 22/23]]</f>
        <v>90</v>
      </c>
      <c r="Y29" s="193">
        <f>SUMIFS(MasterTable[FY2 (FY23-24)],MasterTable[[Project Code and Name ]],PAProjects[[#This Row],[LINKING_CODE]],MasterTable[Funding Source],"GoU Funded")/10^9</f>
        <v>0</v>
      </c>
      <c r="Z29" s="193">
        <f>SUMIFS(MasterTable[FY2 (FY23-24)],MasterTable[[Project Code and Name ]],PAProjects[[#This Row],[LINKING_CODE]],MasterTable[Funding Source],"External Financing")/10^9</f>
        <v>0</v>
      </c>
      <c r="AA29" s="175">
        <f t="shared" si="2"/>
        <v>0</v>
      </c>
      <c r="AB29" s="193">
        <f>SUMIFS(MasterTable[FY3 (FY24-25)],MasterTable[[Project Code and Name ]],PAProjects[[#This Row],[LINKING_CODE]],MasterTable[Funding Source],"GoU Funded")/10^9</f>
        <v>0</v>
      </c>
      <c r="AC29" s="193">
        <f>SUMIFS(MasterTable[FY3 (FY24-25)],MasterTable[[Project Code and Name ]],PAProjects[[#This Row],[LINKING_CODE]],MasterTable[Funding Source],"External Financing")/10^9</f>
        <v>0</v>
      </c>
      <c r="AD29" s="191">
        <f>PAProjects[[#This Row],[GOU 24/25]]+PAProjects[[#This Row],[DONOR 24/25]]</f>
        <v>0</v>
      </c>
    </row>
    <row r="30" spans="1:30" ht="15" customHeight="1" x14ac:dyDescent="0.25">
      <c r="A30" s="180" t="s">
        <v>551</v>
      </c>
      <c r="B30" s="175" t="s">
        <v>397</v>
      </c>
      <c r="C30" s="175" t="e">
        <f ca="1">PAProjects[[#This Row],[LINKING_CODE]]=_xlfn.CONCAT(PAProjects[[#This Row],[Project Code]]," ",PAProjects[[#This Row],[Project Name]])</f>
        <v>#NAME?</v>
      </c>
      <c r="D30" s="175" t="str">
        <f>VLOOKUP(PAProjects[[#This Row],[LINKING_CODE]],MasterTable[[Project Code and Name ]],1,FALSE)</f>
        <v>1281 Tirinyi-Pallisa-Kumi/Kamonkoli Road</v>
      </c>
      <c r="E30" s="175" t="s">
        <v>515</v>
      </c>
      <c r="F30" s="175" t="s">
        <v>944</v>
      </c>
      <c r="G30" s="175" t="s">
        <v>113</v>
      </c>
      <c r="H30" s="175" t="str">
        <f>VLOOKUP(I30,'Program Codes'!C:D,2,FALSE)</f>
        <v>08</v>
      </c>
      <c r="I30" s="175" t="s">
        <v>1007</v>
      </c>
      <c r="J30" s="175" t="s">
        <v>1050</v>
      </c>
      <c r="K30" s="175" t="s">
        <v>1051</v>
      </c>
      <c r="L30" s="175" t="s">
        <v>1509</v>
      </c>
      <c r="M30" s="188">
        <v>41729</v>
      </c>
      <c r="N30" s="182">
        <v>44742</v>
      </c>
      <c r="O30" s="183">
        <v>156.58600000000001</v>
      </c>
      <c r="P30" s="174"/>
      <c r="Q30" s="174">
        <f t="shared" si="0"/>
        <v>156.58600000000001</v>
      </c>
      <c r="R30" s="189">
        <v>0</v>
      </c>
      <c r="S30" s="190">
        <f>SUMIFS(MasterTable[Arrears + All Contractual Commitments (value next FY)],MasterTable[[Project Code and Name ]],PAProjects[[#This Row],[LINKING_CODE]],MasterTable[Funding Source],"GoU Funded")/10^9</f>
        <v>15.681624615</v>
      </c>
      <c r="T30" s="190">
        <f>SUMIFS(MasterTable[Arrears + All Contractual Commitments (value next FY)],MasterTable[[Project Code and Name ]],PAProjects[[#This Row],[LINKING_CODE]],MasterTable[Funding Source],"External Financing")/10^9</f>
        <v>43.932000000000002</v>
      </c>
      <c r="U30" s="191">
        <f>PAProjects[[#This Row],[GOU 21/22]]+PAProjects[[#This Row],[DONOR 21/22]]</f>
        <v>59.613624615000006</v>
      </c>
      <c r="V30" s="192">
        <f>SUMIFS(MasterTable[FY1 (FY22-23)],MasterTable[[Project Code and Name ]],PAProjects[[#This Row],[LINKING_CODE]],MasterTable[Funding Source],"GoU Funded")/10^9</f>
        <v>0</v>
      </c>
      <c r="W30" s="193">
        <f>SUMIFS(MasterTable[FY1 (FY22-23)],MasterTable[[Project Code and Name ]],PAProjects[[#This Row],[LINKING_CODE]],MasterTable[Funding Source],"External Financing")/10^9</f>
        <v>0</v>
      </c>
      <c r="X30" s="191">
        <f>PAProjects[[#This Row],[GOU 22/23]]+PAProjects[[#This Row],[DONOR 22/23]]</f>
        <v>0</v>
      </c>
      <c r="Y30" s="193">
        <f>SUMIFS(MasterTable[FY2 (FY23-24)],MasterTable[[Project Code and Name ]],PAProjects[[#This Row],[LINKING_CODE]],MasterTable[Funding Source],"GoU Funded")/10^9</f>
        <v>0</v>
      </c>
      <c r="Z30" s="193">
        <f>SUMIFS(MasterTable[FY2 (FY23-24)],MasterTable[[Project Code and Name ]],PAProjects[[#This Row],[LINKING_CODE]],MasterTable[Funding Source],"External Financing")/10^9</f>
        <v>0</v>
      </c>
      <c r="AA30" s="175">
        <f t="shared" si="2"/>
        <v>0</v>
      </c>
      <c r="AB30" s="193">
        <f>SUMIFS(MasterTable[FY3 (FY24-25)],MasterTable[[Project Code and Name ]],PAProjects[[#This Row],[LINKING_CODE]],MasterTable[Funding Source],"GoU Funded")/10^9</f>
        <v>0</v>
      </c>
      <c r="AC30" s="193">
        <f>SUMIFS(MasterTable[FY3 (FY24-25)],MasterTable[[Project Code and Name ]],PAProjects[[#This Row],[LINKING_CODE]],MasterTable[Funding Source],"External Financing")/10^9</f>
        <v>0</v>
      </c>
      <c r="AD30" s="191">
        <f>PAProjects[[#This Row],[GOU 24/25]]+PAProjects[[#This Row],[DONOR 24/25]]</f>
        <v>0</v>
      </c>
    </row>
    <row r="31" spans="1:30" ht="15" customHeight="1" x14ac:dyDescent="0.25">
      <c r="A31" s="180" t="s">
        <v>575</v>
      </c>
      <c r="B31" s="175" t="s">
        <v>425</v>
      </c>
      <c r="C31" s="175" t="e">
        <f ca="1">PAProjects[[#This Row],[LINKING_CODE]]=_xlfn.CONCAT(PAProjects[[#This Row],[Project Code]]," ",PAProjects[[#This Row],[Project Name]])</f>
        <v>#NAME?</v>
      </c>
      <c r="D31" s="175" t="str">
        <f>VLOOKUP(PAProjects[[#This Row],[LINKING_CODE]],MasterTable[[Project Code and Name ]],1,FALSE)</f>
        <v>1284 Development of new Kampala Port in Bukasa</v>
      </c>
      <c r="E31" s="175" t="s">
        <v>515</v>
      </c>
      <c r="F31" s="175" t="s">
        <v>944</v>
      </c>
      <c r="G31" s="175" t="s">
        <v>99</v>
      </c>
      <c r="H31" s="175" t="str">
        <f>VLOOKUP(I31,'Program Codes'!C:D,2,FALSE)</f>
        <v>08</v>
      </c>
      <c r="I31" s="175" t="s">
        <v>1007</v>
      </c>
      <c r="J31" s="175" t="s">
        <v>1005</v>
      </c>
      <c r="K31" s="175" t="s">
        <v>1006</v>
      </c>
      <c r="L31" s="175" t="s">
        <v>1509</v>
      </c>
      <c r="M31" s="188">
        <v>41456</v>
      </c>
      <c r="N31" s="182">
        <v>44742</v>
      </c>
      <c r="O31" s="183">
        <v>140.80000000000001</v>
      </c>
      <c r="P31" s="184">
        <v>178</v>
      </c>
      <c r="Q31" s="174">
        <f t="shared" si="0"/>
        <v>318.8</v>
      </c>
      <c r="R31" s="189">
        <v>0</v>
      </c>
      <c r="S31" s="190">
        <f>SUMIFS(MasterTable[Arrears + All Contractual Commitments (value next FY)],MasterTable[[Project Code and Name ]],PAProjects[[#This Row],[LINKING_CODE]],MasterTable[Funding Source],"GoU Funded")/10^9</f>
        <v>5.31</v>
      </c>
      <c r="T31" s="190">
        <f>SUMIFS(MasterTable[Arrears + All Contractual Commitments (value next FY)],MasterTable[[Project Code and Name ]],PAProjects[[#This Row],[LINKING_CODE]],MasterTable[Funding Source],"External Financing")/10^9</f>
        <v>1.0029999999999999</v>
      </c>
      <c r="U31" s="200">
        <f>PAProjects[[#This Row],[GOU 21/22]]+PAProjects[[#This Row],[DONOR 21/22]]</f>
        <v>6.3129999999999997</v>
      </c>
      <c r="V31" s="192">
        <f>SUMIFS(MasterTable[FY1 (FY22-23)],MasterTable[[Project Code and Name ]],PAProjects[[#This Row],[LINKING_CODE]],MasterTable[Funding Source],"GoU Funded")/10^9</f>
        <v>0</v>
      </c>
      <c r="W31" s="193">
        <f>SUMIFS(MasterTable[FY1 (FY22-23)],MasterTable[[Project Code and Name ]],PAProjects[[#This Row],[LINKING_CODE]],MasterTable[Funding Source],"External Financing")/10^9</f>
        <v>0</v>
      </c>
      <c r="X31" s="191">
        <f>PAProjects[[#This Row],[GOU 22/23]]+PAProjects[[#This Row],[DONOR 22/23]]</f>
        <v>0</v>
      </c>
      <c r="Y31" s="193">
        <f>SUMIFS(MasterTable[FY2 (FY23-24)],MasterTable[[Project Code and Name ]],PAProjects[[#This Row],[LINKING_CODE]],MasterTable[Funding Source],"GoU Funded")/10^9</f>
        <v>0</v>
      </c>
      <c r="Z31" s="193">
        <f>SUMIFS(MasterTable[FY2 (FY23-24)],MasterTable[[Project Code and Name ]],PAProjects[[#This Row],[LINKING_CODE]],MasterTable[Funding Source],"External Financing")/10^9</f>
        <v>0</v>
      </c>
      <c r="AA31" s="175">
        <f t="shared" si="2"/>
        <v>0</v>
      </c>
      <c r="AB31" s="193">
        <f>SUMIFS(MasterTable[FY3 (FY24-25)],MasterTable[[Project Code and Name ]],PAProjects[[#This Row],[LINKING_CODE]],MasterTable[Funding Source],"GoU Funded")/10^9</f>
        <v>0</v>
      </c>
      <c r="AC31" s="193">
        <f>SUMIFS(MasterTable[FY3 (FY24-25)],MasterTable[[Project Code and Name ]],PAProjects[[#This Row],[LINKING_CODE]],MasterTable[Funding Source],"External Financing")/10^9</f>
        <v>0</v>
      </c>
      <c r="AD31" s="191">
        <f>PAProjects[[#This Row],[GOU 24/25]]+PAProjects[[#This Row],[DONOR 24/25]]</f>
        <v>0</v>
      </c>
    </row>
    <row r="32" spans="1:30" ht="15" customHeight="1" x14ac:dyDescent="0.25">
      <c r="A32" s="180" t="s">
        <v>577</v>
      </c>
      <c r="B32" s="175" t="s">
        <v>1479</v>
      </c>
      <c r="C32" s="175" t="e">
        <f ca="1">PAProjects[[#This Row],[LINKING_CODE]]=_xlfn.CONCAT(PAProjects[[#This Row],[Project Code]]," ",PAProjects[[#This Row],[Project Name]])</f>
        <v>#NAME?</v>
      </c>
      <c r="D32" s="175" t="str">
        <f>VLOOKUP(PAProjects[[#This Row],[LINKING_CODE]],MasterTable[[Project Code and Name ]],1,FALSE)</f>
        <v>1289 Competitiveness and Enterprise Development Project [CEDP] -012</v>
      </c>
      <c r="E32" s="175" t="s">
        <v>512</v>
      </c>
      <c r="F32" s="175" t="s">
        <v>1105</v>
      </c>
      <c r="G32" s="175" t="s">
        <v>1106</v>
      </c>
      <c r="H32" s="175" t="str">
        <f>VLOOKUP(I32,'Program Codes'!C:D,2,FALSE)</f>
        <v>12</v>
      </c>
      <c r="I32" s="175" t="s">
        <v>1107</v>
      </c>
      <c r="J32" s="175" t="s">
        <v>854</v>
      </c>
      <c r="K32" s="181" t="s">
        <v>553</v>
      </c>
      <c r="L32" s="175" t="s">
        <v>1509</v>
      </c>
      <c r="M32" s="201">
        <v>41646</v>
      </c>
      <c r="N32" s="201">
        <v>44742</v>
      </c>
      <c r="O32" s="185">
        <v>32.72</v>
      </c>
      <c r="P32" s="185">
        <v>402.47489999999999</v>
      </c>
      <c r="Q32" s="174">
        <f t="shared" si="0"/>
        <v>435.19489999999996</v>
      </c>
      <c r="R32" s="189">
        <v>0</v>
      </c>
      <c r="S32" s="190">
        <f>SUMIFS(MasterTable[Arrears + All Contractual Commitments (value next FY)],MasterTable[[Project Code and Name ]],PAProjects[[#This Row],[LINKING_CODE]],MasterTable[Funding Source],"GoU Funded")/10^9</f>
        <v>3.67</v>
      </c>
      <c r="T32" s="190">
        <f>SUMIFS(MasterTable[Arrears + All Contractual Commitments (value next FY)],MasterTable[[Project Code and Name ]],PAProjects[[#This Row],[LINKING_CODE]],MasterTable[Funding Source],"External Financing")/10^9</f>
        <v>55.04</v>
      </c>
      <c r="U32" s="191">
        <f>PAProjects[[#This Row],[GOU 21/22]]+PAProjects[[#This Row],[DONOR 21/22]]</f>
        <v>58.71</v>
      </c>
      <c r="V32" s="192">
        <f>SUMIFS(MasterTable[FY1 (FY22-23)],MasterTable[[Project Code and Name ]],PAProjects[[#This Row],[LINKING_CODE]],MasterTable[Funding Source],"GoU Funded")/10^9</f>
        <v>0</v>
      </c>
      <c r="W32" s="193">
        <f>SUMIFS(MasterTable[FY1 (FY22-23)],MasterTable[[Project Code and Name ]],PAProjects[[#This Row],[LINKING_CODE]],MasterTable[Funding Source],"External Financing")/10^9</f>
        <v>0</v>
      </c>
      <c r="X32" s="191">
        <f>PAProjects[[#This Row],[GOU 22/23]]+PAProjects[[#This Row],[DONOR 22/23]]</f>
        <v>0</v>
      </c>
      <c r="Y32" s="193">
        <f>SUMIFS(MasterTable[FY2 (FY23-24)],MasterTable[[Project Code and Name ]],PAProjects[[#This Row],[LINKING_CODE]],MasterTable[Funding Source],"GoU Funded")/10^9</f>
        <v>0</v>
      </c>
      <c r="Z32" s="193">
        <f>SUMIFS(MasterTable[FY2 (FY23-24)],MasterTable[[Project Code and Name ]],PAProjects[[#This Row],[LINKING_CODE]],MasterTable[Funding Source],"External Financing")/10^9</f>
        <v>0</v>
      </c>
      <c r="AA32" s="175">
        <f t="shared" si="2"/>
        <v>0</v>
      </c>
      <c r="AB32" s="193">
        <f>SUMIFS(MasterTable[FY3 (FY24-25)],MasterTable[[Project Code and Name ]],PAProjects[[#This Row],[LINKING_CODE]],MasterTable[Funding Source],"GoU Funded")/10^9</f>
        <v>0</v>
      </c>
      <c r="AC32" s="193">
        <f>SUMIFS(MasterTable[FY3 (FY24-25)],MasterTable[[Project Code and Name ]],PAProjects[[#This Row],[LINKING_CODE]],MasterTable[Funding Source],"External Financing")/10^9</f>
        <v>0</v>
      </c>
      <c r="AD32" s="191">
        <f>PAProjects[[#This Row],[GOU 24/25]]+PAProjects[[#This Row],[DONOR 24/25]]</f>
        <v>0</v>
      </c>
    </row>
    <row r="33" spans="1:30" ht="15" customHeight="1" x14ac:dyDescent="0.25">
      <c r="A33" s="180" t="s">
        <v>578</v>
      </c>
      <c r="B33" s="175" t="s">
        <v>458</v>
      </c>
      <c r="C33" s="175" t="e">
        <f ca="1">PAProjects[[#This Row],[LINKING_CODE]]=_xlfn.CONCAT(PAProjects[[#This Row],[Project Code]]," ",PAProjects[[#This Row],[Project Name]])</f>
        <v>#NAME?</v>
      </c>
      <c r="D33" s="175" t="str">
        <f>VLOOKUP(PAProjects[[#This Row],[LINKING_CODE]],MasterTable[[Project Code and Name ]],1,FALSE)</f>
        <v>1308 Development and Improvement of Special Needs Education (SNE)</v>
      </c>
      <c r="E33" s="175" t="s">
        <v>519</v>
      </c>
      <c r="F33" s="175" t="s">
        <v>960</v>
      </c>
      <c r="G33" s="175" t="s">
        <v>961</v>
      </c>
      <c r="H33" s="175" t="str">
        <f>VLOOKUP(I33,'Program Codes'!C:D,2,FALSE)</f>
        <v>06</v>
      </c>
      <c r="I33" s="175" t="s">
        <v>962</v>
      </c>
      <c r="J33" s="175" t="s">
        <v>670</v>
      </c>
      <c r="K33" s="175" t="s">
        <v>963</v>
      </c>
      <c r="L33" s="175" t="s">
        <v>1509</v>
      </c>
      <c r="M33" s="182">
        <v>41821</v>
      </c>
      <c r="N33" s="182">
        <v>44742</v>
      </c>
      <c r="O33" s="183">
        <v>10.220000000000001</v>
      </c>
      <c r="P33" s="174"/>
      <c r="Q33" s="174">
        <f t="shared" si="0"/>
        <v>10.220000000000001</v>
      </c>
      <c r="R33" s="189">
        <v>0</v>
      </c>
      <c r="S33" s="190">
        <f>SUMIFS(MasterTable[Arrears + All Contractual Commitments (value next FY)],MasterTable[[Project Code and Name ]],PAProjects[[#This Row],[LINKING_CODE]],MasterTable[Funding Source],"GoU Funded")/10^9</f>
        <v>2.7</v>
      </c>
      <c r="T33" s="190">
        <f>SUMIFS(MasterTable[Arrears + All Contractual Commitments (value next FY)],MasterTable[[Project Code and Name ]],PAProjects[[#This Row],[LINKING_CODE]],MasterTable[Funding Source],"External Financing")/10^9</f>
        <v>0</v>
      </c>
      <c r="U33" s="191">
        <f>PAProjects[[#This Row],[GOU 21/22]]+PAProjects[[#This Row],[DONOR 21/22]]</f>
        <v>2.7</v>
      </c>
      <c r="V33" s="192">
        <f>SUMIFS(MasterTable[FY1 (FY22-23)],MasterTable[[Project Code and Name ]],PAProjects[[#This Row],[LINKING_CODE]],MasterTable[Funding Source],"GoU Funded")/10^9</f>
        <v>0</v>
      </c>
      <c r="W33" s="193">
        <f>SUMIFS(MasterTable[FY1 (FY22-23)],MasterTable[[Project Code and Name ]],PAProjects[[#This Row],[LINKING_CODE]],MasterTable[Funding Source],"External Financing")/10^9</f>
        <v>0</v>
      </c>
      <c r="X33" s="191">
        <f>PAProjects[[#This Row],[GOU 22/23]]+PAProjects[[#This Row],[DONOR 22/23]]</f>
        <v>0</v>
      </c>
      <c r="Y33" s="193">
        <f>SUMIFS(MasterTable[FY2 (FY23-24)],MasterTable[[Project Code and Name ]],PAProjects[[#This Row],[LINKING_CODE]],MasterTable[Funding Source],"GoU Funded")/10^9</f>
        <v>0</v>
      </c>
      <c r="Z33" s="193">
        <f>SUMIFS(MasterTable[FY2 (FY23-24)],MasterTable[[Project Code and Name ]],PAProjects[[#This Row],[LINKING_CODE]],MasterTable[Funding Source],"External Financing")/10^9</f>
        <v>0</v>
      </c>
      <c r="AA33" s="175">
        <f t="shared" si="2"/>
        <v>0</v>
      </c>
      <c r="AB33" s="193">
        <f>SUMIFS(MasterTable[FY3 (FY24-25)],MasterTable[[Project Code and Name ]],PAProjects[[#This Row],[LINKING_CODE]],MasterTable[Funding Source],"GoU Funded")/10^9</f>
        <v>0</v>
      </c>
      <c r="AC33" s="193">
        <f>SUMIFS(MasterTable[FY3 (FY24-25)],MasterTable[[Project Code and Name ]],PAProjects[[#This Row],[LINKING_CODE]],MasterTable[Funding Source],"External Financing")/10^9</f>
        <v>0</v>
      </c>
      <c r="AD33" s="191">
        <f>PAProjects[[#This Row],[GOU 24/25]]+PAProjects[[#This Row],[DONOR 24/25]]</f>
        <v>0</v>
      </c>
    </row>
    <row r="34" spans="1:30" ht="15" customHeight="1" x14ac:dyDescent="0.25">
      <c r="A34" s="180" t="s">
        <v>579</v>
      </c>
      <c r="B34" s="175" t="s">
        <v>1296</v>
      </c>
      <c r="C34" s="175" t="e">
        <f ca="1">PAProjects[[#This Row],[LINKING_CODE]]=_xlfn.CONCAT(PAProjects[[#This Row],[Project Code]]," ",PAProjects[[#This Row],[Project Name]])</f>
        <v>#NAME?</v>
      </c>
      <c r="D34" s="175" t="str">
        <f>VLOOKUP(PAProjects[[#This Row],[LINKING_CODE]],MasterTable[[Project Code and Name ]],1,FALSE)</f>
        <v>1310 Albertine Region Sustainable Development Project -012</v>
      </c>
      <c r="E34" s="175" t="s">
        <v>512</v>
      </c>
      <c r="F34" s="175" t="s">
        <v>1105</v>
      </c>
      <c r="G34" s="175" t="s">
        <v>1106</v>
      </c>
      <c r="H34" s="175" t="str">
        <f>VLOOKUP(I34,'Program Codes'!C:D,2,FALSE)</f>
        <v>16</v>
      </c>
      <c r="I34" s="175" t="s">
        <v>1493</v>
      </c>
      <c r="J34" s="175" t="s">
        <v>964</v>
      </c>
      <c r="K34" s="181" t="s">
        <v>554</v>
      </c>
      <c r="L34" s="175" t="s">
        <v>1509</v>
      </c>
      <c r="M34" s="201">
        <v>41646</v>
      </c>
      <c r="N34" s="182">
        <v>44742</v>
      </c>
      <c r="O34" s="185">
        <v>79.724000000000004</v>
      </c>
      <c r="P34" s="185">
        <v>93.424999999999997</v>
      </c>
      <c r="Q34" s="174">
        <f t="shared" si="0"/>
        <v>173.149</v>
      </c>
      <c r="R34" s="189">
        <v>0</v>
      </c>
      <c r="S34" s="190">
        <f>SUMIFS(MasterTable[Arrears + All Contractual Commitments (value next FY)],MasterTable[[Project Code and Name ]],PAProjects[[#This Row],[LINKING_CODE]],MasterTable[Funding Source],"GoU Funded")/10^9</f>
        <v>0</v>
      </c>
      <c r="T34" s="190">
        <f>SUMIFS(MasterTable[Arrears + All Contractual Commitments (value next FY)],MasterTable[[Project Code and Name ]],PAProjects[[#This Row],[LINKING_CODE]],MasterTable[Funding Source],"External Financing")/10^9</f>
        <v>0</v>
      </c>
      <c r="U34" s="191">
        <f>PAProjects[[#This Row],[GOU 21/22]]+PAProjects[[#This Row],[DONOR 21/22]]</f>
        <v>0</v>
      </c>
      <c r="V34" s="192">
        <f>SUMIFS(MasterTable[FY1 (FY22-23)],MasterTable[[Project Code and Name ]],PAProjects[[#This Row],[LINKING_CODE]],MasterTable[Funding Source],"GoU Funded")/10^9</f>
        <v>0</v>
      </c>
      <c r="W34" s="193">
        <f>SUMIFS(MasterTable[FY1 (FY22-23)],MasterTable[[Project Code and Name ]],PAProjects[[#This Row],[LINKING_CODE]],MasterTable[Funding Source],"External Financing")/10^9</f>
        <v>0</v>
      </c>
      <c r="X34" s="191">
        <f>PAProjects[[#This Row],[GOU 22/23]]+PAProjects[[#This Row],[DONOR 22/23]]</f>
        <v>0</v>
      </c>
      <c r="Y34" s="193">
        <f>SUMIFS(MasterTable[FY2 (FY23-24)],MasterTable[[Project Code and Name ]],PAProjects[[#This Row],[LINKING_CODE]],MasterTable[Funding Source],"GoU Funded")/10^9</f>
        <v>0</v>
      </c>
      <c r="Z34" s="193">
        <f>SUMIFS(MasterTable[FY2 (FY23-24)],MasterTable[[Project Code and Name ]],PAProjects[[#This Row],[LINKING_CODE]],MasterTable[Funding Source],"External Financing")/10^9</f>
        <v>0</v>
      </c>
      <c r="AA34" s="175">
        <f t="shared" si="2"/>
        <v>0</v>
      </c>
      <c r="AB34" s="193">
        <f>SUMIFS(MasterTable[FY3 (FY24-25)],MasterTable[[Project Code and Name ]],PAProjects[[#This Row],[LINKING_CODE]],MasterTable[Funding Source],"GoU Funded")/10^9</f>
        <v>0</v>
      </c>
      <c r="AC34" s="193">
        <f>SUMIFS(MasterTable[FY3 (FY24-25)],MasterTable[[Project Code and Name ]],PAProjects[[#This Row],[LINKING_CODE]],MasterTable[Funding Source],"External Financing")/10^9</f>
        <v>0</v>
      </c>
      <c r="AD34" s="191">
        <f>PAProjects[[#This Row],[GOU 24/25]]+PAProjects[[#This Row],[DONOR 24/25]]</f>
        <v>0</v>
      </c>
    </row>
    <row r="35" spans="1:30" ht="15" customHeight="1" x14ac:dyDescent="0.25">
      <c r="A35" s="180" t="s">
        <v>581</v>
      </c>
      <c r="B35" s="175" t="s">
        <v>1297</v>
      </c>
      <c r="C35" s="175" t="e">
        <f ca="1">PAProjects[[#This Row],[LINKING_CODE]]=_xlfn.CONCAT(PAProjects[[#This Row],[Project Code]]," ",PAProjects[[#This Row],[Project Name]])</f>
        <v>#NAME?</v>
      </c>
      <c r="D35" s="175" t="str">
        <f>VLOOKUP(PAProjects[[#This Row],[LINKING_CODE]],MasterTable[[Project Code and Name ]],1,FALSE)</f>
        <v>1310 Albertine Region Sustainable Development Project -013</v>
      </c>
      <c r="E35" s="175" t="s">
        <v>519</v>
      </c>
      <c r="F35" s="175" t="s">
        <v>960</v>
      </c>
      <c r="G35" s="175" t="s">
        <v>961</v>
      </c>
      <c r="H35" s="175" t="str">
        <f>VLOOKUP(I35,'Program Codes'!C:D,2,FALSE)</f>
        <v>06</v>
      </c>
      <c r="I35" s="175" t="s">
        <v>962</v>
      </c>
      <c r="J35" s="175" t="s">
        <v>964</v>
      </c>
      <c r="K35" s="181" t="s">
        <v>554</v>
      </c>
      <c r="L35" s="175" t="s">
        <v>1509</v>
      </c>
      <c r="M35" s="182">
        <v>41821</v>
      </c>
      <c r="N35" s="182">
        <v>44742</v>
      </c>
      <c r="O35" s="183">
        <v>8.6229999999999993</v>
      </c>
      <c r="P35" s="184">
        <v>61.3</v>
      </c>
      <c r="Q35" s="174">
        <f t="shared" si="0"/>
        <v>69.923000000000002</v>
      </c>
      <c r="R35" s="189">
        <v>0</v>
      </c>
      <c r="S35" s="190">
        <f>SUMIFS(MasterTable[Arrears + All Contractual Commitments (value next FY)],MasterTable[[Project Code and Name ]],PAProjects[[#This Row],[LINKING_CODE]],MasterTable[Funding Source],"GoU Funded")/10^9</f>
        <v>0.83875629500000004</v>
      </c>
      <c r="T35" s="190">
        <f>SUMIFS(MasterTable[Arrears + All Contractual Commitments (value next FY)],MasterTable[[Project Code and Name ]],PAProjects[[#This Row],[LINKING_CODE]],MasterTable[Funding Source],"External Financing")/10^9</f>
        <v>17.76495375</v>
      </c>
      <c r="U35" s="191">
        <f>PAProjects[[#This Row],[GOU 21/22]]+PAProjects[[#This Row],[DONOR 21/22]]</f>
        <v>18.603710045</v>
      </c>
      <c r="V35" s="192">
        <f>SUMIFS(MasterTable[FY1 (FY22-23)],MasterTable[[Project Code and Name ]],PAProjects[[#This Row],[LINKING_CODE]],MasterTable[Funding Source],"GoU Funded")/10^9</f>
        <v>0</v>
      </c>
      <c r="W35" s="193">
        <f>SUMIFS(MasterTable[FY1 (FY22-23)],MasterTable[[Project Code and Name ]],PAProjects[[#This Row],[LINKING_CODE]],MasterTable[Funding Source],"External Financing")/10^9</f>
        <v>0</v>
      </c>
      <c r="X35" s="191">
        <f>PAProjects[[#This Row],[GOU 22/23]]+PAProjects[[#This Row],[DONOR 22/23]]</f>
        <v>0</v>
      </c>
      <c r="Y35" s="193">
        <f>SUMIFS(MasterTable[FY2 (FY23-24)],MasterTable[[Project Code and Name ]],PAProjects[[#This Row],[LINKING_CODE]],MasterTable[Funding Source],"GoU Funded")/10^9</f>
        <v>0</v>
      </c>
      <c r="Z35" s="193">
        <f>SUMIFS(MasterTable[FY2 (FY23-24)],MasterTable[[Project Code and Name ]],PAProjects[[#This Row],[LINKING_CODE]],MasterTable[Funding Source],"External Financing")/10^9</f>
        <v>0</v>
      </c>
      <c r="AA35" s="175">
        <f t="shared" si="2"/>
        <v>0</v>
      </c>
      <c r="AB35" s="193">
        <f>SUMIFS(MasterTable[FY3 (FY24-25)],MasterTable[[Project Code and Name ]],PAProjects[[#This Row],[LINKING_CODE]],MasterTable[Funding Source],"GoU Funded")/10^9</f>
        <v>0</v>
      </c>
      <c r="AC35" s="193">
        <f>SUMIFS(MasterTable[FY3 (FY24-25)],MasterTable[[Project Code and Name ]],PAProjects[[#This Row],[LINKING_CODE]],MasterTable[Funding Source],"External Financing")/10^9</f>
        <v>0</v>
      </c>
      <c r="AD35" s="191">
        <f>PAProjects[[#This Row],[GOU 24/25]]+PAProjects[[#This Row],[DONOR 24/25]]</f>
        <v>0</v>
      </c>
    </row>
    <row r="36" spans="1:30" ht="15" customHeight="1" x14ac:dyDescent="0.25">
      <c r="A36" s="180" t="s">
        <v>583</v>
      </c>
      <c r="B36" s="175" t="s">
        <v>1295</v>
      </c>
      <c r="C36" s="175" t="e">
        <f ca="1">PAProjects[[#This Row],[LINKING_CODE]]=_xlfn.CONCAT(PAProjects[[#This Row],[Project Code]]," ",PAProjects[[#This Row],[Project Name]])</f>
        <v>#NAME?</v>
      </c>
      <c r="D36" s="175" t="str">
        <f>VLOOKUP(PAProjects[[#This Row],[LINKING_CODE]],MasterTable[[Project Code and Name ]],1,FALSE)</f>
        <v>1310 Albertine Region Sustainable Development Project -113</v>
      </c>
      <c r="E36" s="175" t="s">
        <v>515</v>
      </c>
      <c r="F36" s="175" t="s">
        <v>944</v>
      </c>
      <c r="G36" s="175" t="s">
        <v>113</v>
      </c>
      <c r="H36" s="175" t="str">
        <f>VLOOKUP(I36,'Program Codes'!C:D,2,FALSE)</f>
        <v>08</v>
      </c>
      <c r="I36" s="175" t="s">
        <v>1007</v>
      </c>
      <c r="J36" s="175" t="s">
        <v>964</v>
      </c>
      <c r="K36" s="181" t="s">
        <v>554</v>
      </c>
      <c r="L36" s="175" t="s">
        <v>1509</v>
      </c>
      <c r="M36" s="188">
        <v>41821</v>
      </c>
      <c r="N36" s="182">
        <v>44742</v>
      </c>
      <c r="O36" s="183">
        <v>79.724000000000004</v>
      </c>
      <c r="P36" s="184">
        <v>28.128</v>
      </c>
      <c r="Q36" s="174">
        <f t="shared" si="0"/>
        <v>107.852</v>
      </c>
      <c r="R36" s="189">
        <v>0</v>
      </c>
      <c r="S36" s="190">
        <f>SUMIFS(MasterTable[Arrears + All Contractual Commitments (value next FY)],MasterTable[[Project Code and Name ]],PAProjects[[#This Row],[LINKING_CODE]],MasterTable[Funding Source],"GoU Funded")/10^9</f>
        <v>0</v>
      </c>
      <c r="T36" s="190">
        <f>SUMIFS(MasterTable[Arrears + All Contractual Commitments (value next FY)],MasterTable[[Project Code and Name ]],PAProjects[[#This Row],[LINKING_CODE]],MasterTable[Funding Source],"External Financing")/10^9</f>
        <v>0</v>
      </c>
      <c r="U36" s="191">
        <f>PAProjects[[#This Row],[GOU 21/22]]+PAProjects[[#This Row],[DONOR 21/22]]</f>
        <v>0</v>
      </c>
      <c r="V36" s="192">
        <f>SUMIFS(MasterTable[FY1 (FY22-23)],MasterTable[[Project Code and Name ]],PAProjects[[#This Row],[LINKING_CODE]],MasterTable[Funding Source],"GoU Funded")/10^9</f>
        <v>0</v>
      </c>
      <c r="W36" s="193">
        <f>SUMIFS(MasterTable[FY1 (FY22-23)],MasterTable[[Project Code and Name ]],PAProjects[[#This Row],[LINKING_CODE]],MasterTable[Funding Source],"External Financing")/10^9</f>
        <v>0</v>
      </c>
      <c r="X36" s="191">
        <f>PAProjects[[#This Row],[GOU 22/23]]+PAProjects[[#This Row],[DONOR 22/23]]</f>
        <v>0</v>
      </c>
      <c r="Y36" s="193">
        <f>SUMIFS(MasterTable[FY2 (FY23-24)],MasterTable[[Project Code and Name ]],PAProjects[[#This Row],[LINKING_CODE]],MasterTable[Funding Source],"GoU Funded")/10^9</f>
        <v>0</v>
      </c>
      <c r="Z36" s="193">
        <f>SUMIFS(MasterTable[FY2 (FY23-24)],MasterTable[[Project Code and Name ]],PAProjects[[#This Row],[LINKING_CODE]],MasterTable[Funding Source],"External Financing")/10^9</f>
        <v>0</v>
      </c>
      <c r="AA36" s="175">
        <f t="shared" si="2"/>
        <v>0</v>
      </c>
      <c r="AB36" s="193">
        <f>SUMIFS(MasterTable[FY3 (FY24-25)],MasterTable[[Project Code and Name ]],PAProjects[[#This Row],[LINKING_CODE]],MasterTable[Funding Source],"GoU Funded")/10^9</f>
        <v>0</v>
      </c>
      <c r="AC36" s="193">
        <f>SUMIFS(MasterTable[FY3 (FY24-25)],MasterTable[[Project Code and Name ]],PAProjects[[#This Row],[LINKING_CODE]],MasterTable[Funding Source],"External Financing")/10^9</f>
        <v>0</v>
      </c>
      <c r="AD36" s="191">
        <f>PAProjects[[#This Row],[GOU 24/25]]+PAProjects[[#This Row],[DONOR 24/25]]</f>
        <v>0</v>
      </c>
    </row>
    <row r="37" spans="1:30" ht="15" customHeight="1" x14ac:dyDescent="0.25">
      <c r="A37" s="180" t="s">
        <v>584</v>
      </c>
      <c r="B37" s="175" t="s">
        <v>398</v>
      </c>
      <c r="C37" s="175" t="e">
        <f ca="1">PAProjects[[#This Row],[LINKING_CODE]]=_xlfn.CONCAT(PAProjects[[#This Row],[Project Code]]," ",PAProjects[[#This Row],[Project Name]])</f>
        <v>#NAME?</v>
      </c>
      <c r="D37" s="175" t="str">
        <f>VLOOKUP(PAProjects[[#This Row],[LINKING_CODE]],MasterTable[[Project Code and Name ]],1,FALSE)</f>
        <v>1311 Upgrading Rukungiri-Kihihi-Ishasha/Kanungu Road</v>
      </c>
      <c r="E37" s="175" t="s">
        <v>515</v>
      </c>
      <c r="F37" s="175" t="s">
        <v>944</v>
      </c>
      <c r="G37" s="175" t="s">
        <v>113</v>
      </c>
      <c r="H37" s="175" t="str">
        <f>VLOOKUP(I37,'Program Codes'!C:D,2,FALSE)</f>
        <v>08</v>
      </c>
      <c r="I37" s="175" t="s">
        <v>1007</v>
      </c>
      <c r="J37" s="175" t="s">
        <v>1052</v>
      </c>
      <c r="K37" s="175" t="s">
        <v>1053</v>
      </c>
      <c r="L37" s="175" t="s">
        <v>1509</v>
      </c>
      <c r="M37" s="188">
        <v>41821</v>
      </c>
      <c r="N37" s="182">
        <v>44742</v>
      </c>
      <c r="O37" s="183">
        <v>287</v>
      </c>
      <c r="P37" s="184">
        <v>17.664999999999999</v>
      </c>
      <c r="Q37" s="174">
        <f t="shared" si="0"/>
        <v>304.66500000000002</v>
      </c>
      <c r="R37" s="189">
        <v>0</v>
      </c>
      <c r="S37" s="190">
        <f>SUMIFS(MasterTable[Arrears + All Contractual Commitments (value next FY)],MasterTable[[Project Code and Name ]],PAProjects[[#This Row],[LINKING_CODE]],MasterTable[Funding Source],"GoU Funded")/10^9</f>
        <v>7.76</v>
      </c>
      <c r="T37" s="190">
        <f>SUMIFS(MasterTable[Arrears + All Contractual Commitments (value next FY)],MasterTable[[Project Code and Name ]],PAProjects[[#This Row],[LINKING_CODE]],MasterTable[Funding Source],"External Financing")/10^9</f>
        <v>51.75</v>
      </c>
      <c r="U37" s="191">
        <f>PAProjects[[#This Row],[GOU 21/22]]+PAProjects[[#This Row],[DONOR 21/22]]</f>
        <v>59.51</v>
      </c>
      <c r="V37" s="192">
        <f>SUMIFS(MasterTable[FY1 (FY22-23)],MasterTable[[Project Code and Name ]],PAProjects[[#This Row],[LINKING_CODE]],MasterTable[Funding Source],"GoU Funded")/10^9</f>
        <v>0</v>
      </c>
      <c r="W37" s="193">
        <f>SUMIFS(MasterTable[FY1 (FY22-23)],MasterTable[[Project Code and Name ]],PAProjects[[#This Row],[LINKING_CODE]],MasterTable[Funding Source],"External Financing")/10^9</f>
        <v>0</v>
      </c>
      <c r="X37" s="191">
        <f>PAProjects[[#This Row],[GOU 22/23]]+PAProjects[[#This Row],[DONOR 22/23]]</f>
        <v>0</v>
      </c>
      <c r="Y37" s="193">
        <f>SUMIFS(MasterTable[FY2 (FY23-24)],MasterTable[[Project Code and Name ]],PAProjects[[#This Row],[LINKING_CODE]],MasterTable[Funding Source],"GoU Funded")/10^9</f>
        <v>0</v>
      </c>
      <c r="Z37" s="193">
        <f>SUMIFS(MasterTable[FY2 (FY23-24)],MasterTable[[Project Code and Name ]],PAProjects[[#This Row],[LINKING_CODE]],MasterTable[Funding Source],"External Financing")/10^9</f>
        <v>0</v>
      </c>
      <c r="AA37" s="175">
        <f t="shared" si="2"/>
        <v>0</v>
      </c>
      <c r="AB37" s="193">
        <f>SUMIFS(MasterTable[FY3 (FY24-25)],MasterTable[[Project Code and Name ]],PAProjects[[#This Row],[LINKING_CODE]],MasterTable[Funding Source],"GoU Funded")/10^9</f>
        <v>0</v>
      </c>
      <c r="AC37" s="193">
        <f>SUMIFS(MasterTable[FY3 (FY24-25)],MasterTable[[Project Code and Name ]],PAProjects[[#This Row],[LINKING_CODE]],MasterTable[Funding Source],"External Financing")/10^9</f>
        <v>0</v>
      </c>
      <c r="AD37" s="191">
        <f>PAProjects[[#This Row],[GOU 24/25]]+PAProjects[[#This Row],[DONOR 24/25]]</f>
        <v>0</v>
      </c>
    </row>
    <row r="38" spans="1:30" ht="15" customHeight="1" x14ac:dyDescent="0.25">
      <c r="A38" s="180" t="s">
        <v>586</v>
      </c>
      <c r="B38" s="175" t="s">
        <v>399</v>
      </c>
      <c r="C38" s="175" t="e">
        <f ca="1">PAProjects[[#This Row],[LINKING_CODE]]=_xlfn.CONCAT(PAProjects[[#This Row],[Project Code]]," ",PAProjects[[#This Row],[Project Name]])</f>
        <v>#NAME?</v>
      </c>
      <c r="D38" s="175" t="str">
        <f>VLOOKUP(PAProjects[[#This Row],[LINKING_CODE]],MasterTable[[Project Code and Name ]],1,FALSE)</f>
        <v>1312 Upgrading Mbale-Bubulo-Lwakhakha Road</v>
      </c>
      <c r="E38" s="175" t="s">
        <v>515</v>
      </c>
      <c r="F38" s="175" t="s">
        <v>944</v>
      </c>
      <c r="G38" s="175" t="s">
        <v>113</v>
      </c>
      <c r="H38" s="175" t="str">
        <f>VLOOKUP(I38,'Program Codes'!C:D,2,FALSE)</f>
        <v>08</v>
      </c>
      <c r="I38" s="175" t="s">
        <v>1007</v>
      </c>
      <c r="J38" s="175" t="s">
        <v>1054</v>
      </c>
      <c r="K38" s="175" t="s">
        <v>1055</v>
      </c>
      <c r="L38" s="175" t="s">
        <v>1509</v>
      </c>
      <c r="M38" s="188">
        <v>41821</v>
      </c>
      <c r="N38" s="182">
        <v>44742</v>
      </c>
      <c r="O38" s="183">
        <v>48.854999999999997</v>
      </c>
      <c r="P38" s="184">
        <v>16.600000000000001</v>
      </c>
      <c r="Q38" s="174">
        <f t="shared" ref="Q38:Q69" si="3">SUM(O38:P38)</f>
        <v>65.454999999999998</v>
      </c>
      <c r="R38" s="189">
        <v>0</v>
      </c>
      <c r="S38" s="190">
        <f>SUMIFS(MasterTable[Arrears + All Contractual Commitments (value next FY)],MasterTable[[Project Code and Name ]],PAProjects[[#This Row],[LINKING_CODE]],MasterTable[Funding Source],"GoU Funded")/10^9</f>
        <v>0</v>
      </c>
      <c r="T38" s="190">
        <f>SUMIFS(MasterTable[Arrears + All Contractual Commitments (value next FY)],MasterTable[[Project Code and Name ]],PAProjects[[#This Row],[LINKING_CODE]],MasterTable[Funding Source],"External Financing")/10^9</f>
        <v>0</v>
      </c>
      <c r="U38" s="191">
        <f>PAProjects[[#This Row],[GOU 21/22]]+PAProjects[[#This Row],[DONOR 21/22]]</f>
        <v>0</v>
      </c>
      <c r="V38" s="192">
        <f>SUMIFS(MasterTable[FY1 (FY22-23)],MasterTable[[Project Code and Name ]],PAProjects[[#This Row],[LINKING_CODE]],MasterTable[Funding Source],"GoU Funded")/10^9</f>
        <v>0</v>
      </c>
      <c r="W38" s="193">
        <f>SUMIFS(MasterTable[FY1 (FY22-23)],MasterTable[[Project Code and Name ]],PAProjects[[#This Row],[LINKING_CODE]],MasterTable[Funding Source],"External Financing")/10^9</f>
        <v>0</v>
      </c>
      <c r="X38" s="191">
        <f>PAProjects[[#This Row],[GOU 22/23]]+PAProjects[[#This Row],[DONOR 22/23]]</f>
        <v>0</v>
      </c>
      <c r="Y38" s="193">
        <f>SUMIFS(MasterTable[FY2 (FY23-24)],MasterTable[[Project Code and Name ]],PAProjects[[#This Row],[LINKING_CODE]],MasterTable[Funding Source],"GoU Funded")/10^9</f>
        <v>0</v>
      </c>
      <c r="Z38" s="193">
        <f>SUMIFS(MasterTable[FY2 (FY23-24)],MasterTable[[Project Code and Name ]],PAProjects[[#This Row],[LINKING_CODE]],MasterTable[Funding Source],"External Financing")/10^9</f>
        <v>0</v>
      </c>
      <c r="AA38" s="175">
        <f t="shared" si="2"/>
        <v>0</v>
      </c>
      <c r="AB38" s="193">
        <f>SUMIFS(MasterTable[FY3 (FY24-25)],MasterTable[[Project Code and Name ]],PAProjects[[#This Row],[LINKING_CODE]],MasterTable[Funding Source],"GoU Funded")/10^9</f>
        <v>0</v>
      </c>
      <c r="AC38" s="193">
        <f>SUMIFS(MasterTable[FY3 (FY24-25)],MasterTable[[Project Code and Name ]],PAProjects[[#This Row],[LINKING_CODE]],MasterTable[Funding Source],"External Financing")/10^9</f>
        <v>0</v>
      </c>
      <c r="AD38" s="191">
        <f>PAProjects[[#This Row],[GOU 24/25]]+PAProjects[[#This Row],[DONOR 24/25]]</f>
        <v>0</v>
      </c>
    </row>
    <row r="39" spans="1:30" ht="15" customHeight="1" x14ac:dyDescent="0.25">
      <c r="A39" s="180" t="s">
        <v>588</v>
      </c>
      <c r="B39" s="175" t="s">
        <v>400</v>
      </c>
      <c r="C39" s="175" t="e">
        <f ca="1">PAProjects[[#This Row],[LINKING_CODE]]=_xlfn.CONCAT(PAProjects[[#This Row],[Project Code]]," ",PAProjects[[#This Row],[Project Name]])</f>
        <v>#NAME?</v>
      </c>
      <c r="D39" s="175" t="str">
        <f>VLOOKUP(PAProjects[[#This Row],[LINKING_CODE]],MasterTable[[Project Code and Name ]],1,FALSE)</f>
        <v>1313 North Eastern Road-Corridor Asset Management Project</v>
      </c>
      <c r="E39" s="175" t="s">
        <v>515</v>
      </c>
      <c r="F39" s="175" t="s">
        <v>944</v>
      </c>
      <c r="G39" s="175" t="s">
        <v>113</v>
      </c>
      <c r="H39" s="175" t="str">
        <f>VLOOKUP(I39,'Program Codes'!C:D,2,FALSE)</f>
        <v>08</v>
      </c>
      <c r="I39" s="175" t="s">
        <v>1007</v>
      </c>
      <c r="J39" s="175" t="s">
        <v>1056</v>
      </c>
      <c r="K39" s="175" t="s">
        <v>1057</v>
      </c>
      <c r="L39" s="175" t="s">
        <v>1509</v>
      </c>
      <c r="M39" s="188">
        <v>41821</v>
      </c>
      <c r="N39" s="182">
        <v>45473</v>
      </c>
      <c r="O39" s="183">
        <v>5.01</v>
      </c>
      <c r="P39" s="184">
        <v>267.589</v>
      </c>
      <c r="Q39" s="174">
        <f t="shared" si="3"/>
        <v>272.59899999999999</v>
      </c>
      <c r="R39" s="189">
        <v>0</v>
      </c>
      <c r="S39" s="190">
        <f>SUMIFS(MasterTable[Arrears + All Contractual Commitments (value next FY)],MasterTable[[Project Code and Name ]],PAProjects[[#This Row],[LINKING_CODE]],MasterTable[Funding Source],"GoU Funded")/10^9</f>
        <v>0</v>
      </c>
      <c r="T39" s="190">
        <f>SUMIFS(MasterTable[Arrears + All Contractual Commitments (value next FY)],MasterTable[[Project Code and Name ]],PAProjects[[#This Row],[LINKING_CODE]],MasterTable[Funding Source],"External Financing")/10^9</f>
        <v>165.28</v>
      </c>
      <c r="U39" s="191">
        <f>PAProjects[[#This Row],[GOU 21/22]]+PAProjects[[#This Row],[DONOR 21/22]]</f>
        <v>165.28</v>
      </c>
      <c r="V39" s="192">
        <f>SUMIFS(MasterTable[FY1 (FY22-23)],MasterTable[[Project Code and Name ]],PAProjects[[#This Row],[LINKING_CODE]],MasterTable[Funding Source],"GoU Funded")/10^9</f>
        <v>0</v>
      </c>
      <c r="W39" s="193">
        <f>SUMIFS(MasterTable[FY1 (FY22-23)],MasterTable[[Project Code and Name ]],PAProjects[[#This Row],[LINKING_CODE]],MasterTable[Funding Source],"External Financing")/10^9</f>
        <v>162.56</v>
      </c>
      <c r="X39" s="191">
        <f>PAProjects[[#This Row],[GOU 22/23]]+PAProjects[[#This Row],[DONOR 22/23]]</f>
        <v>162.56</v>
      </c>
      <c r="Y39" s="193">
        <f>SUMIFS(MasterTable[FY2 (FY23-24)],MasterTable[[Project Code and Name ]],PAProjects[[#This Row],[LINKING_CODE]],MasterTable[Funding Source],"GoU Funded")/10^9</f>
        <v>0</v>
      </c>
      <c r="Z39" s="193">
        <f>SUMIFS(MasterTable[FY2 (FY23-24)],MasterTable[[Project Code and Name ]],PAProjects[[#This Row],[LINKING_CODE]],MasterTable[Funding Source],"External Financing")/10^9</f>
        <v>92.85</v>
      </c>
      <c r="AA39" s="194">
        <f t="shared" si="2"/>
        <v>92.85</v>
      </c>
      <c r="AB39" s="193">
        <f>SUMIFS(MasterTable[FY3 (FY24-25)],MasterTable[[Project Code and Name ]],PAProjects[[#This Row],[LINKING_CODE]],MasterTable[Funding Source],"GoU Funded")/10^9</f>
        <v>0</v>
      </c>
      <c r="AC39" s="193">
        <f>SUMIFS(MasterTable[FY3 (FY24-25)],MasterTable[[Project Code and Name ]],PAProjects[[#This Row],[LINKING_CODE]],MasterTable[Funding Source],"External Financing")/10^9</f>
        <v>0</v>
      </c>
      <c r="AD39" s="191">
        <f>PAProjects[[#This Row],[GOU 24/25]]+PAProjects[[#This Row],[DONOR 24/25]]</f>
        <v>0</v>
      </c>
    </row>
    <row r="40" spans="1:30" ht="15" customHeight="1" x14ac:dyDescent="0.25">
      <c r="A40" s="180" t="s">
        <v>598</v>
      </c>
      <c r="B40" s="175" t="s">
        <v>401</v>
      </c>
      <c r="C40" s="175" t="e">
        <f ca="1">PAProjects[[#This Row],[LINKING_CODE]]=_xlfn.CONCAT(PAProjects[[#This Row],[Project Code]]," ",PAProjects[[#This Row],[Project Name]])</f>
        <v>#NAME?</v>
      </c>
      <c r="D40" s="175" t="str">
        <f>VLOOKUP(PAProjects[[#This Row],[LINKING_CODE]],MasterTable[[Project Code and Name ]],1,FALSE)</f>
        <v>1319 Kampala Flyover</v>
      </c>
      <c r="E40" s="175" t="s">
        <v>515</v>
      </c>
      <c r="F40" s="175" t="s">
        <v>944</v>
      </c>
      <c r="G40" s="175" t="s">
        <v>113</v>
      </c>
      <c r="H40" s="175" t="str">
        <f>VLOOKUP(I40,'Program Codes'!C:D,2,FALSE)</f>
        <v>08</v>
      </c>
      <c r="I40" s="175" t="s">
        <v>1007</v>
      </c>
      <c r="J40" s="175" t="s">
        <v>1058</v>
      </c>
      <c r="K40" s="175" t="s">
        <v>595</v>
      </c>
      <c r="L40" s="175" t="s">
        <v>1509</v>
      </c>
      <c r="M40" s="188">
        <v>42186</v>
      </c>
      <c r="N40" s="182">
        <v>45656</v>
      </c>
      <c r="O40" s="183">
        <v>180</v>
      </c>
      <c r="P40" s="184">
        <v>720</v>
      </c>
      <c r="Q40" s="174">
        <f t="shared" si="3"/>
        <v>900</v>
      </c>
      <c r="R40" s="189">
        <v>4.2592233799999999</v>
      </c>
      <c r="S40" s="190">
        <f>SUMIFS(MasterTable[Arrears + All Contractual Commitments (value next FY)],MasterTable[[Project Code and Name ]],PAProjects[[#This Row],[LINKING_CODE]],MasterTable[Funding Source],"GoU Funded")/10^9</f>
        <v>61.289223380000003</v>
      </c>
      <c r="T40" s="190">
        <f>SUMIFS(MasterTable[Arrears + All Contractual Commitments (value next FY)],MasterTable[[Project Code and Name ]],PAProjects[[#This Row],[LINKING_CODE]],MasterTable[Funding Source],"External Financing")/10^9</f>
        <v>187.1</v>
      </c>
      <c r="U40" s="191">
        <f>PAProjects[[#This Row],[GOU 21/22]]+PAProjects[[#This Row],[DONOR 21/22]]</f>
        <v>248.38922338</v>
      </c>
      <c r="V40" s="192">
        <f>SUMIFS(MasterTable[FY1 (FY22-23)],MasterTable[[Project Code and Name ]],PAProjects[[#This Row],[LINKING_CODE]],MasterTable[Funding Source],"GoU Funded")/10^9</f>
        <v>57.03</v>
      </c>
      <c r="W40" s="193">
        <f>SUMIFS(MasterTable[FY1 (FY22-23)],MasterTable[[Project Code and Name ]],PAProjects[[#This Row],[LINKING_CODE]],MasterTable[Funding Source],"External Financing")/10^9</f>
        <v>337.12</v>
      </c>
      <c r="X40" s="191">
        <f>PAProjects[[#This Row],[GOU 22/23]]+PAProjects[[#This Row],[DONOR 22/23]]</f>
        <v>394.15</v>
      </c>
      <c r="Y40" s="193">
        <f>SUMIFS(MasterTable[FY2 (FY23-24)],MasterTable[[Project Code and Name ]],PAProjects[[#This Row],[LINKING_CODE]],MasterTable[Funding Source],"GoU Funded")/10^9</f>
        <v>5.7030000000000003</v>
      </c>
      <c r="Z40" s="193">
        <f>SUMIFS(MasterTable[FY2 (FY23-24)],MasterTable[[Project Code and Name ]],PAProjects[[#This Row],[LINKING_CODE]],MasterTable[Funding Source],"External Financing")/10^9</f>
        <v>399.6</v>
      </c>
      <c r="AA40" s="194">
        <f t="shared" si="2"/>
        <v>405.303</v>
      </c>
      <c r="AB40" s="193">
        <f>SUMIFS(MasterTable[FY3 (FY24-25)],MasterTable[[Project Code and Name ]],PAProjects[[#This Row],[LINKING_CODE]],MasterTable[Funding Source],"GoU Funded")/10^9</f>
        <v>0</v>
      </c>
      <c r="AC40" s="193">
        <f>SUMIFS(MasterTable[FY3 (FY24-25)],MasterTable[[Project Code and Name ]],PAProjects[[#This Row],[LINKING_CODE]],MasterTable[Funding Source],"External Financing")/10^9</f>
        <v>0</v>
      </c>
      <c r="AD40" s="191">
        <f>PAProjects[[#This Row],[GOU 24/25]]+PAProjects[[#This Row],[DONOR 24/25]]</f>
        <v>0</v>
      </c>
    </row>
    <row r="41" spans="1:30" ht="15" customHeight="1" x14ac:dyDescent="0.25">
      <c r="A41" s="180" t="s">
        <v>599</v>
      </c>
      <c r="B41" s="175" t="s">
        <v>402</v>
      </c>
      <c r="C41" s="175" t="e">
        <f ca="1">PAProjects[[#This Row],[LINKING_CODE]]=_xlfn.CONCAT(PAProjects[[#This Row],[Project Code]]," ",PAProjects[[#This Row],[Project Name]])</f>
        <v>#NAME?</v>
      </c>
      <c r="D41" s="175" t="str">
        <f>VLOOKUP(PAProjects[[#This Row],[LINKING_CODE]],MasterTable[[Project Code and Name ]],1,FALSE)</f>
        <v>1320  Construction of 66 Selected Bridges</v>
      </c>
      <c r="E41" s="175" t="s">
        <v>515</v>
      </c>
      <c r="F41" s="175" t="s">
        <v>944</v>
      </c>
      <c r="G41" s="175" t="s">
        <v>113</v>
      </c>
      <c r="H41" s="175" t="str">
        <f>VLOOKUP(I41,'Program Codes'!C:D,2,FALSE)</f>
        <v>08</v>
      </c>
      <c r="I41" s="175" t="s">
        <v>1007</v>
      </c>
      <c r="J41" s="175" t="s">
        <v>596</v>
      </c>
      <c r="K41" s="175" t="s">
        <v>1059</v>
      </c>
      <c r="L41" s="175" t="s">
        <v>1509</v>
      </c>
      <c r="M41" s="188">
        <v>42186</v>
      </c>
      <c r="N41" s="182">
        <v>45107</v>
      </c>
      <c r="O41" s="183">
        <v>234.3</v>
      </c>
      <c r="P41" s="174"/>
      <c r="Q41" s="174">
        <f t="shared" si="3"/>
        <v>234.3</v>
      </c>
      <c r="R41" s="189">
        <v>29.626560801</v>
      </c>
      <c r="S41" s="190">
        <f>SUMIFS(MasterTable[Arrears + All Contractual Commitments (value next FY)],MasterTable[[Project Code and Name ]],PAProjects[[#This Row],[LINKING_CODE]],MasterTable[Funding Source],"GoU Funded")/10^9</f>
        <v>203.56156080100001</v>
      </c>
      <c r="T41" s="190">
        <f>SUMIFS(MasterTable[Arrears + All Contractual Commitments (value next FY)],MasterTable[[Project Code and Name ]],PAProjects[[#This Row],[LINKING_CODE]],MasterTable[Funding Source],"External Financing")/10^9</f>
        <v>0</v>
      </c>
      <c r="U41" s="191">
        <f>PAProjects[[#This Row],[GOU 21/22]]+PAProjects[[#This Row],[DONOR 21/22]]</f>
        <v>203.56156080100001</v>
      </c>
      <c r="V41" s="192">
        <f>SUMIFS(MasterTable[FY1 (FY22-23)],MasterTable[[Project Code and Name ]],PAProjects[[#This Row],[LINKING_CODE]],MasterTable[Funding Source],"GoU Funded")/10^9</f>
        <v>124.54505</v>
      </c>
      <c r="W41" s="193">
        <f>SUMIFS(MasterTable[FY1 (FY22-23)],MasterTable[[Project Code and Name ]],PAProjects[[#This Row],[LINKING_CODE]],MasterTable[Funding Source],"External Financing")/10^9</f>
        <v>0</v>
      </c>
      <c r="X41" s="191">
        <f>PAProjects[[#This Row],[GOU 22/23]]+PAProjects[[#This Row],[DONOR 22/23]]</f>
        <v>124.54505</v>
      </c>
      <c r="Y41" s="193">
        <f>SUMIFS(MasterTable[FY2 (FY23-24)],MasterTable[[Project Code and Name ]],PAProjects[[#This Row],[LINKING_CODE]],MasterTable[Funding Source],"GoU Funded")/10^9</f>
        <v>0</v>
      </c>
      <c r="Z41" s="193">
        <f>SUMIFS(MasterTable[FY2 (FY23-24)],MasterTable[[Project Code and Name ]],PAProjects[[#This Row],[LINKING_CODE]],MasterTable[Funding Source],"External Financing")/10^9</f>
        <v>0</v>
      </c>
      <c r="AA41" s="175">
        <f t="shared" si="2"/>
        <v>0</v>
      </c>
      <c r="AB41" s="193">
        <f>SUMIFS(MasterTable[FY3 (FY24-25)],MasterTable[[Project Code and Name ]],PAProjects[[#This Row],[LINKING_CODE]],MasterTable[Funding Source],"GoU Funded")/10^9</f>
        <v>0</v>
      </c>
      <c r="AC41" s="193">
        <f>SUMIFS(MasterTable[FY3 (FY24-25)],MasterTable[[Project Code and Name ]],PAProjects[[#This Row],[LINKING_CODE]],MasterTable[Funding Source],"External Financing")/10^9</f>
        <v>0</v>
      </c>
      <c r="AD41" s="191">
        <f>PAProjects[[#This Row],[GOU 24/25]]+PAProjects[[#This Row],[DONOR 24/25]]</f>
        <v>0</v>
      </c>
    </row>
    <row r="42" spans="1:30" ht="15" customHeight="1" x14ac:dyDescent="0.25">
      <c r="A42" s="180" t="s">
        <v>601</v>
      </c>
      <c r="B42" s="175" t="s">
        <v>403</v>
      </c>
      <c r="C42" s="175" t="e">
        <f ca="1">PAProjects[[#This Row],[LINKING_CODE]]=_xlfn.CONCAT(PAProjects[[#This Row],[Project Code]]," ",PAProjects[[#This Row],[Project Name]])</f>
        <v>#NAME?</v>
      </c>
      <c r="D42" s="175" t="str">
        <f>VLOOKUP(PAProjects[[#This Row],[LINKING_CODE]],MasterTable[[Project Code and Name ]],1,FALSE)</f>
        <v>1322 Upgrading of Muyembe-Nakapiripirit (92 km)</v>
      </c>
      <c r="E42" s="175" t="s">
        <v>515</v>
      </c>
      <c r="F42" s="175" t="s">
        <v>944</v>
      </c>
      <c r="G42" s="175" t="s">
        <v>113</v>
      </c>
      <c r="H42" s="175" t="str">
        <f>VLOOKUP(I42,'Program Codes'!C:D,2,FALSE)</f>
        <v>08</v>
      </c>
      <c r="I42" s="175" t="s">
        <v>1007</v>
      </c>
      <c r="J42" s="175" t="s">
        <v>1060</v>
      </c>
      <c r="K42" s="175" t="s">
        <v>1061</v>
      </c>
      <c r="L42" s="175" t="s">
        <v>1509</v>
      </c>
      <c r="M42" s="188">
        <v>42186</v>
      </c>
      <c r="N42" s="182">
        <v>45473</v>
      </c>
      <c r="O42" s="183">
        <v>61.956000000000003</v>
      </c>
      <c r="P42" s="184">
        <v>378.62</v>
      </c>
      <c r="Q42" s="174">
        <f t="shared" si="3"/>
        <v>440.57600000000002</v>
      </c>
      <c r="R42" s="189">
        <v>0</v>
      </c>
      <c r="S42" s="190">
        <f>SUMIFS(MasterTable[Arrears + All Contractual Commitments (value next FY)],MasterTable[[Project Code and Name ]],PAProjects[[#This Row],[LINKING_CODE]],MasterTable[Funding Source],"GoU Funded")/10^9</f>
        <v>0.1</v>
      </c>
      <c r="T42" s="190">
        <f>SUMIFS(MasterTable[Arrears + All Contractual Commitments (value next FY)],MasterTable[[Project Code and Name ]],PAProjects[[#This Row],[LINKING_CODE]],MasterTable[Funding Source],"External Financing")/10^9</f>
        <v>90</v>
      </c>
      <c r="U42" s="191">
        <f>PAProjects[[#This Row],[GOU 21/22]]+PAProjects[[#This Row],[DONOR 21/22]]</f>
        <v>90.1</v>
      </c>
      <c r="V42" s="192">
        <f>SUMIFS(MasterTable[FY1 (FY22-23)],MasterTable[[Project Code and Name ]],PAProjects[[#This Row],[LINKING_CODE]],MasterTable[Funding Source],"GoU Funded")/10^9</f>
        <v>0.02</v>
      </c>
      <c r="W42" s="193">
        <f>SUMIFS(MasterTable[FY1 (FY22-23)],MasterTable[[Project Code and Name ]],PAProjects[[#This Row],[LINKING_CODE]],MasterTable[Funding Source],"External Financing")/10^9</f>
        <v>45</v>
      </c>
      <c r="X42" s="191">
        <f>PAProjects[[#This Row],[GOU 22/23]]+PAProjects[[#This Row],[DONOR 22/23]]</f>
        <v>45.02</v>
      </c>
      <c r="Y42" s="193">
        <f>SUMIFS(MasterTable[FY2 (FY23-24)],MasterTable[[Project Code and Name ]],PAProjects[[#This Row],[LINKING_CODE]],MasterTable[Funding Source],"GoU Funded")/10^9</f>
        <v>0</v>
      </c>
      <c r="Z42" s="193">
        <f>SUMIFS(MasterTable[FY2 (FY23-24)],MasterTable[[Project Code and Name ]],PAProjects[[#This Row],[LINKING_CODE]],MasterTable[Funding Source],"External Financing")/10^9</f>
        <v>0</v>
      </c>
      <c r="AA42" s="194">
        <f t="shared" si="2"/>
        <v>0</v>
      </c>
      <c r="AB42" s="193">
        <f>SUMIFS(MasterTable[FY3 (FY24-25)],MasterTable[[Project Code and Name ]],PAProjects[[#This Row],[LINKING_CODE]],MasterTable[Funding Source],"GoU Funded")/10^9</f>
        <v>0</v>
      </c>
      <c r="AC42" s="193">
        <f>SUMIFS(MasterTable[FY3 (FY24-25)],MasterTable[[Project Code and Name ]],PAProjects[[#This Row],[LINKING_CODE]],MasterTable[Funding Source],"External Financing")/10^9</f>
        <v>0</v>
      </c>
      <c r="AD42" s="191">
        <f>PAProjects[[#This Row],[GOU 24/25]]+PAProjects[[#This Row],[DONOR 24/25]]</f>
        <v>0</v>
      </c>
    </row>
    <row r="43" spans="1:30" ht="15" customHeight="1" x14ac:dyDescent="0.25">
      <c r="A43" s="180" t="s">
        <v>602</v>
      </c>
      <c r="B43" s="175" t="s">
        <v>1480</v>
      </c>
      <c r="C43" s="175" t="e">
        <f ca="1">PAProjects[[#This Row],[LINKING_CODE]]=_xlfn.CONCAT(PAProjects[[#This Row],[Project Code]]," ",PAProjects[[#This Row],[Project Name]])</f>
        <v>#NAME?</v>
      </c>
      <c r="D43" s="175" t="str">
        <f>VLOOKUP(PAProjects[[#This Row],[LINKING_CODE]],MasterTable[[Project Code and Name ]],1,FALSE)</f>
        <v>1338 Skills Development Project -013</v>
      </c>
      <c r="E43" s="175" t="s">
        <v>519</v>
      </c>
      <c r="F43" s="175" t="s">
        <v>960</v>
      </c>
      <c r="G43" s="175" t="s">
        <v>961</v>
      </c>
      <c r="H43" s="175" t="str">
        <f>VLOOKUP(I43,'Program Codes'!C:D,2,FALSE)</f>
        <v>12</v>
      </c>
      <c r="I43" s="175" t="s">
        <v>1107</v>
      </c>
      <c r="J43" s="175" t="s">
        <v>671</v>
      </c>
      <c r="K43" s="181" t="s">
        <v>672</v>
      </c>
      <c r="L43" s="175" t="s">
        <v>1509</v>
      </c>
      <c r="M43" s="182">
        <v>42186</v>
      </c>
      <c r="N43" s="182">
        <v>44742</v>
      </c>
      <c r="O43" s="183">
        <v>5.1820000000000004</v>
      </c>
      <c r="P43" s="184">
        <v>246</v>
      </c>
      <c r="Q43" s="174">
        <f t="shared" si="3"/>
        <v>251.18199999999999</v>
      </c>
      <c r="R43" s="189">
        <v>0</v>
      </c>
      <c r="S43" s="190">
        <f>SUMIFS(MasterTable[Arrears + All Contractual Commitments (value next FY)],MasterTable[[Project Code and Name ]],PAProjects[[#This Row],[LINKING_CODE]],MasterTable[Funding Source],"GoU Funded")/10^9</f>
        <v>0</v>
      </c>
      <c r="T43" s="190">
        <f>SUMIFS(MasterTable[Arrears + All Contractual Commitments (value next FY)],MasterTable[[Project Code and Name ]],PAProjects[[#This Row],[LINKING_CODE]],MasterTable[Funding Source],"External Financing")/10^9</f>
        <v>89.938286250000004</v>
      </c>
      <c r="U43" s="191">
        <f>PAProjects[[#This Row],[GOU 21/22]]+PAProjects[[#This Row],[DONOR 21/22]]</f>
        <v>89.938286250000004</v>
      </c>
      <c r="V43" s="192">
        <f>SUMIFS(MasterTable[FY1 (FY22-23)],MasterTable[[Project Code and Name ]],PAProjects[[#This Row],[LINKING_CODE]],MasterTable[Funding Source],"GoU Funded")/10^9</f>
        <v>0</v>
      </c>
      <c r="W43" s="193">
        <f>SUMIFS(MasterTable[FY1 (FY22-23)],MasterTable[[Project Code and Name ]],PAProjects[[#This Row],[LINKING_CODE]],MasterTable[Funding Source],"External Financing")/10^9</f>
        <v>0</v>
      </c>
      <c r="X43" s="191">
        <f>PAProjects[[#This Row],[GOU 22/23]]+PAProjects[[#This Row],[DONOR 22/23]]</f>
        <v>0</v>
      </c>
      <c r="Y43" s="193">
        <f>SUMIFS(MasterTable[FY2 (FY23-24)],MasterTable[[Project Code and Name ]],PAProjects[[#This Row],[LINKING_CODE]],MasterTable[Funding Source],"GoU Funded")/10^9</f>
        <v>0</v>
      </c>
      <c r="Z43" s="193">
        <f>SUMIFS(MasterTable[FY2 (FY23-24)],MasterTable[[Project Code and Name ]],PAProjects[[#This Row],[LINKING_CODE]],MasterTable[Funding Source],"External Financing")/10^9</f>
        <v>0</v>
      </c>
      <c r="AA43" s="175">
        <f t="shared" si="2"/>
        <v>0</v>
      </c>
      <c r="AB43" s="193">
        <f>SUMIFS(MasterTable[FY3 (FY24-25)],MasterTable[[Project Code and Name ]],PAProjects[[#This Row],[LINKING_CODE]],MasterTable[Funding Source],"GoU Funded")/10^9</f>
        <v>0</v>
      </c>
      <c r="AC43" s="193">
        <f>SUMIFS(MasterTable[FY3 (FY24-25)],MasterTable[[Project Code and Name ]],PAProjects[[#This Row],[LINKING_CODE]],MasterTable[Funding Source],"External Financing")/10^9</f>
        <v>0</v>
      </c>
      <c r="AD43" s="191">
        <f>PAProjects[[#This Row],[GOU 24/25]]+PAProjects[[#This Row],[DONOR 24/25]]</f>
        <v>0</v>
      </c>
    </row>
    <row r="44" spans="1:30" ht="15" customHeight="1" x14ac:dyDescent="0.25">
      <c r="A44" s="180" t="s">
        <v>603</v>
      </c>
      <c r="B44" s="175" t="s">
        <v>463</v>
      </c>
      <c r="C44" s="175" t="e">
        <f ca="1">PAProjects[[#This Row],[LINKING_CODE]]=_xlfn.CONCAT(PAProjects[[#This Row],[Project Code]]," ",PAProjects[[#This Row],[Project Name]])</f>
        <v>#NAME?</v>
      </c>
      <c r="D44" s="175" t="str">
        <f>VLOOKUP(PAProjects[[#This Row],[LINKING_CODE]],MasterTable[[Project Code and Name ]],1,FALSE)</f>
        <v xml:space="preserve">1339 Emergency Construction of Primary Schools Phase II  </v>
      </c>
      <c r="E44" s="175" t="s">
        <v>519</v>
      </c>
      <c r="F44" s="175" t="s">
        <v>960</v>
      </c>
      <c r="G44" s="175" t="s">
        <v>961</v>
      </c>
      <c r="H44" s="175" t="str">
        <f>VLOOKUP(I44,'Program Codes'!C:D,2,FALSE)</f>
        <v>06</v>
      </c>
      <c r="I44" s="175" t="s">
        <v>962</v>
      </c>
      <c r="J44" s="175" t="s">
        <v>965</v>
      </c>
      <c r="K44" s="175" t="s">
        <v>966</v>
      </c>
      <c r="L44" s="175" t="s">
        <v>1509</v>
      </c>
      <c r="M44" s="182">
        <v>42186</v>
      </c>
      <c r="N44" s="182">
        <v>44742</v>
      </c>
      <c r="O44" s="174">
        <v>8.8879999999999999</v>
      </c>
      <c r="P44" s="174"/>
      <c r="Q44" s="174">
        <f t="shared" si="3"/>
        <v>8.8879999999999999</v>
      </c>
      <c r="R44" s="189">
        <v>2.803278594</v>
      </c>
      <c r="S44" s="190">
        <f>SUMIFS(MasterTable[Arrears + All Contractual Commitments (value next FY)],MasterTable[[Project Code and Name ]],PAProjects[[#This Row],[LINKING_CODE]],MasterTable[Funding Source],"GoU Funded")/10^9</f>
        <v>13.783278594</v>
      </c>
      <c r="T44" s="190">
        <f>SUMIFS(MasterTable[Arrears + All Contractual Commitments (value next FY)],MasterTable[[Project Code and Name ]],PAProjects[[#This Row],[LINKING_CODE]],MasterTable[Funding Source],"External Financing")/10^9</f>
        <v>0</v>
      </c>
      <c r="U44" s="191">
        <f>PAProjects[[#This Row],[GOU 21/22]]+PAProjects[[#This Row],[DONOR 21/22]]</f>
        <v>13.783278594</v>
      </c>
      <c r="V44" s="192">
        <f>SUMIFS(MasterTable[FY1 (FY22-23)],MasterTable[[Project Code and Name ]],PAProjects[[#This Row],[LINKING_CODE]],MasterTable[Funding Source],"GoU Funded")/10^9</f>
        <v>0</v>
      </c>
      <c r="W44" s="193">
        <f>SUMIFS(MasterTable[FY1 (FY22-23)],MasterTable[[Project Code and Name ]],PAProjects[[#This Row],[LINKING_CODE]],MasterTable[Funding Source],"External Financing")/10^9</f>
        <v>0</v>
      </c>
      <c r="X44" s="191">
        <f>PAProjects[[#This Row],[GOU 22/23]]+PAProjects[[#This Row],[DONOR 22/23]]</f>
        <v>0</v>
      </c>
      <c r="Y44" s="193">
        <f>SUMIFS(MasterTable[FY2 (FY23-24)],MasterTable[[Project Code and Name ]],PAProjects[[#This Row],[LINKING_CODE]],MasterTable[Funding Source],"GoU Funded")/10^9</f>
        <v>0</v>
      </c>
      <c r="Z44" s="193">
        <f>SUMIFS(MasterTable[FY2 (FY23-24)],MasterTable[[Project Code and Name ]],PAProjects[[#This Row],[LINKING_CODE]],MasterTable[Funding Source],"External Financing")/10^9</f>
        <v>0</v>
      </c>
      <c r="AA44" s="175">
        <f t="shared" si="2"/>
        <v>0</v>
      </c>
      <c r="AB44" s="193">
        <f>SUMIFS(MasterTable[FY3 (FY24-25)],MasterTable[[Project Code and Name ]],PAProjects[[#This Row],[LINKING_CODE]],MasterTable[Funding Source],"GoU Funded")/10^9</f>
        <v>0</v>
      </c>
      <c r="AC44" s="193">
        <f>SUMIFS(MasterTable[FY3 (FY24-25)],MasterTable[[Project Code and Name ]],PAProjects[[#This Row],[LINKING_CODE]],MasterTable[Funding Source],"External Financing")/10^9</f>
        <v>0</v>
      </c>
      <c r="AD44" s="191">
        <f>PAProjects[[#This Row],[GOU 24/25]]+PAProjects[[#This Row],[DONOR 24/25]]</f>
        <v>0</v>
      </c>
    </row>
    <row r="45" spans="1:30" ht="15" customHeight="1" x14ac:dyDescent="0.25">
      <c r="A45" s="180" t="s">
        <v>604</v>
      </c>
      <c r="B45" s="175" t="s">
        <v>73</v>
      </c>
      <c r="C45" s="175" t="e">
        <f ca="1">PAProjects[[#This Row],[LINKING_CODE]]=_xlfn.CONCAT(PAProjects[[#This Row],[Project Code]]," ",PAProjects[[#This Row],[Project Name]])</f>
        <v>#NAME?</v>
      </c>
      <c r="D45" s="175" t="str">
        <f>VLOOKUP(PAProjects[[#This Row],[LINKING_CODE]],MasterTable[[Project Code and Name ]],1,FALSE)</f>
        <v>1344 Renovation and Equipping of Kayunga and Yumbe General Hospitals</v>
      </c>
      <c r="E45" s="175" t="s">
        <v>520</v>
      </c>
      <c r="F45" s="175" t="s">
        <v>975</v>
      </c>
      <c r="G45" s="175" t="s">
        <v>97</v>
      </c>
      <c r="H45" s="175" t="str">
        <f>VLOOKUP(I45,'Program Codes'!C:D,2,FALSE)</f>
        <v>06</v>
      </c>
      <c r="I45" s="175" t="s">
        <v>962</v>
      </c>
      <c r="J45" s="175" t="s">
        <v>701</v>
      </c>
      <c r="K45" s="175" t="s">
        <v>702</v>
      </c>
      <c r="L45" s="175" t="s">
        <v>1509</v>
      </c>
      <c r="M45" s="182">
        <v>42186</v>
      </c>
      <c r="N45" s="182">
        <v>44742</v>
      </c>
      <c r="O45" s="183">
        <v>19.899999999999999</v>
      </c>
      <c r="P45" s="184">
        <v>132.4</v>
      </c>
      <c r="Q45" s="174">
        <f t="shared" si="3"/>
        <v>152.30000000000001</v>
      </c>
      <c r="R45" s="189">
        <v>0</v>
      </c>
      <c r="S45" s="190">
        <f>SUMIFS(MasterTable[Arrears + All Contractual Commitments (value next FY)],MasterTable[[Project Code and Name ]],PAProjects[[#This Row],[LINKING_CODE]],MasterTable[Funding Source],"GoU Funded")/10^9</f>
        <v>1.579</v>
      </c>
      <c r="T45" s="190">
        <f>SUMIFS(MasterTable[Arrears + All Contractual Commitments (value next FY)],MasterTable[[Project Code and Name ]],PAProjects[[#This Row],[LINKING_CODE]],MasterTable[Funding Source],"External Financing")/10^9</f>
        <v>3.3954</v>
      </c>
      <c r="U45" s="191">
        <f>PAProjects[[#This Row],[GOU 21/22]]+PAProjects[[#This Row],[DONOR 21/22]]</f>
        <v>4.9744000000000002</v>
      </c>
      <c r="V45" s="192">
        <f>SUMIFS(MasterTable[FY1 (FY22-23)],MasterTable[[Project Code and Name ]],PAProjects[[#This Row],[LINKING_CODE]],MasterTable[Funding Source],"GoU Funded")/10^9</f>
        <v>0</v>
      </c>
      <c r="W45" s="193">
        <f>SUMIFS(MasterTable[FY1 (FY22-23)],MasterTable[[Project Code and Name ]],PAProjects[[#This Row],[LINKING_CODE]],MasterTable[Funding Source],"External Financing")/10^9</f>
        <v>0</v>
      </c>
      <c r="X45" s="191">
        <f>PAProjects[[#This Row],[GOU 22/23]]+PAProjects[[#This Row],[DONOR 22/23]]</f>
        <v>0</v>
      </c>
      <c r="Y45" s="193">
        <f>SUMIFS(MasterTable[FY2 (FY23-24)],MasterTable[[Project Code and Name ]],PAProjects[[#This Row],[LINKING_CODE]],MasterTable[Funding Source],"GoU Funded")/10^9</f>
        <v>0</v>
      </c>
      <c r="Z45" s="193">
        <f>SUMIFS(MasterTable[FY2 (FY23-24)],MasterTable[[Project Code and Name ]],PAProjects[[#This Row],[LINKING_CODE]],MasterTable[Funding Source],"External Financing")/10^9</f>
        <v>0</v>
      </c>
      <c r="AA45" s="175">
        <f t="shared" si="2"/>
        <v>0</v>
      </c>
      <c r="AB45" s="193">
        <f>SUMIFS(MasterTable[FY3 (FY24-25)],MasterTable[[Project Code and Name ]],PAProjects[[#This Row],[LINKING_CODE]],MasterTable[Funding Source],"GoU Funded")/10^9</f>
        <v>0</v>
      </c>
      <c r="AC45" s="193">
        <f>SUMIFS(MasterTable[FY3 (FY24-25)],MasterTable[[Project Code and Name ]],PAProjects[[#This Row],[LINKING_CODE]],MasterTable[Funding Source],"External Financing")/10^9</f>
        <v>0</v>
      </c>
      <c r="AD45" s="191">
        <f>PAProjects[[#This Row],[GOU 24/25]]+PAProjects[[#This Row],[DONOR 24/25]]</f>
        <v>0</v>
      </c>
    </row>
    <row r="46" spans="1:30" ht="15" customHeight="1" x14ac:dyDescent="0.25">
      <c r="A46" s="180" t="s">
        <v>605</v>
      </c>
      <c r="B46" s="175" t="s">
        <v>39</v>
      </c>
      <c r="C46" s="175" t="e">
        <f ca="1">PAProjects[[#This Row],[LINKING_CODE]]=_xlfn.CONCAT(PAProjects[[#This Row],[Project Code]]," ",PAProjects[[#This Row],[Project Name]])</f>
        <v>#NAME?</v>
      </c>
      <c r="D46" s="175" t="str">
        <f>VLOOKUP(PAProjects[[#This Row],[LINKING_CODE]],MasterTable[[Project Code and Name ]],1,FALSE)</f>
        <v>1350 Muzizi Hydro Power Project</v>
      </c>
      <c r="E46" s="175" t="s">
        <v>513</v>
      </c>
      <c r="F46" s="175" t="s">
        <v>1089</v>
      </c>
      <c r="G46" s="175" t="s">
        <v>66</v>
      </c>
      <c r="H46" s="175" t="str">
        <f>VLOOKUP(I46,'Program Codes'!C:D,2,FALSE)</f>
        <v>15</v>
      </c>
      <c r="I46" s="175" t="s">
        <v>1251</v>
      </c>
      <c r="J46" s="175" t="s">
        <v>1246</v>
      </c>
      <c r="K46" s="175" t="s">
        <v>563</v>
      </c>
      <c r="L46" s="175" t="s">
        <v>1509</v>
      </c>
      <c r="M46" s="182">
        <v>42354</v>
      </c>
      <c r="N46" s="182">
        <v>44742</v>
      </c>
      <c r="O46" s="198">
        <v>76.67</v>
      </c>
      <c r="P46" s="199">
        <v>365.38600000000002</v>
      </c>
      <c r="Q46" s="174">
        <f t="shared" si="3"/>
        <v>442.05600000000004</v>
      </c>
      <c r="R46" s="189">
        <v>0</v>
      </c>
      <c r="S46" s="190">
        <f>SUMIFS(MasterTable[Arrears + All Contractual Commitments (value next FY)],MasterTable[[Project Code and Name ]],PAProjects[[#This Row],[LINKING_CODE]],MasterTable[Funding Source],"GoU Funded")/10^9</f>
        <v>2.5169999999999999</v>
      </c>
      <c r="T46" s="190">
        <f>SUMIFS(MasterTable[Arrears + All Contractual Commitments (value next FY)],MasterTable[[Project Code and Name ]],PAProjects[[#This Row],[LINKING_CODE]],MasterTable[Funding Source],"External Financing")/10^9</f>
        <v>15.39</v>
      </c>
      <c r="U46" s="191">
        <f>PAProjects[[#This Row],[GOU 21/22]]+PAProjects[[#This Row],[DONOR 21/22]]</f>
        <v>17.907</v>
      </c>
      <c r="V46" s="192">
        <f>SUMIFS(MasterTable[FY1 (FY22-23)],MasterTable[[Project Code and Name ]],PAProjects[[#This Row],[LINKING_CODE]],MasterTable[Funding Source],"GoU Funded")/10^9</f>
        <v>0</v>
      </c>
      <c r="W46" s="193">
        <f>SUMIFS(MasterTable[FY1 (FY22-23)],MasterTable[[Project Code and Name ]],PAProjects[[#This Row],[LINKING_CODE]],MasterTable[Funding Source],"External Financing")/10^9</f>
        <v>0</v>
      </c>
      <c r="X46" s="191">
        <f>PAProjects[[#This Row],[GOU 22/23]]+PAProjects[[#This Row],[DONOR 22/23]]</f>
        <v>0</v>
      </c>
      <c r="Y46" s="193">
        <f>SUMIFS(MasterTable[FY2 (FY23-24)],MasterTable[[Project Code and Name ]],PAProjects[[#This Row],[LINKING_CODE]],MasterTable[Funding Source],"GoU Funded")/10^9</f>
        <v>0</v>
      </c>
      <c r="Z46" s="193">
        <f>SUMIFS(MasterTable[FY2 (FY23-24)],MasterTable[[Project Code and Name ]],PAProjects[[#This Row],[LINKING_CODE]],MasterTable[Funding Source],"External Financing")/10^9</f>
        <v>0</v>
      </c>
      <c r="AA46" s="175">
        <f t="shared" si="2"/>
        <v>0</v>
      </c>
      <c r="AB46" s="193">
        <f>SUMIFS(MasterTable[FY3 (FY24-25)],MasterTable[[Project Code and Name ]],PAProjects[[#This Row],[LINKING_CODE]],MasterTable[Funding Source],"GoU Funded")/10^9</f>
        <v>0</v>
      </c>
      <c r="AC46" s="193">
        <f>SUMIFS(MasterTable[FY3 (FY24-25)],MasterTable[[Project Code and Name ]],PAProjects[[#This Row],[LINKING_CODE]],MasterTable[Funding Source],"External Financing")/10^9</f>
        <v>0</v>
      </c>
      <c r="AD46" s="191">
        <f>PAProjects[[#This Row],[GOU 24/25]]+PAProjects[[#This Row],[DONOR 24/25]]</f>
        <v>0</v>
      </c>
    </row>
    <row r="47" spans="1:30" ht="15" customHeight="1" x14ac:dyDescent="0.25">
      <c r="A47" s="180" t="s">
        <v>607</v>
      </c>
      <c r="B47" s="175" t="s">
        <v>41</v>
      </c>
      <c r="C47" s="175" t="e">
        <f ca="1">PAProjects[[#This Row],[LINKING_CODE]]=_xlfn.CONCAT(PAProjects[[#This Row],[Project Code]]," ",PAProjects[[#This Row],[Project Name]])</f>
        <v>#NAME?</v>
      </c>
      <c r="D47" s="175" t="str">
        <f>VLOOKUP(PAProjects[[#This Row],[LINKING_CODE]],MasterTable[[Project Code and Name ]],1,FALSE)</f>
        <v>1351 Nyagak III Hydro Power Project</v>
      </c>
      <c r="E47" s="175" t="s">
        <v>513</v>
      </c>
      <c r="F47" s="175" t="s">
        <v>1089</v>
      </c>
      <c r="G47" s="175" t="s">
        <v>66</v>
      </c>
      <c r="H47" s="175" t="str">
        <f>VLOOKUP(I47,'Program Codes'!C:D,2,FALSE)</f>
        <v>15</v>
      </c>
      <c r="I47" s="175" t="s">
        <v>1251</v>
      </c>
      <c r="J47" s="175" t="s">
        <v>1247</v>
      </c>
      <c r="K47" s="175" t="s">
        <v>573</v>
      </c>
      <c r="L47" s="175" t="s">
        <v>1509</v>
      </c>
      <c r="M47" s="182">
        <v>42186</v>
      </c>
      <c r="N47" s="182">
        <v>44742</v>
      </c>
      <c r="O47" s="198">
        <v>67.150000000000006</v>
      </c>
      <c r="P47" s="174"/>
      <c r="Q47" s="174">
        <f t="shared" si="3"/>
        <v>67.150000000000006</v>
      </c>
      <c r="R47" s="189">
        <v>0</v>
      </c>
      <c r="S47" s="190">
        <f>SUMIFS(MasterTable[Arrears + All Contractual Commitments (value next FY)],MasterTable[[Project Code and Name ]],PAProjects[[#This Row],[LINKING_CODE]],MasterTable[Funding Source],"GoU Funded")/10^9</f>
        <v>12.293210999999999</v>
      </c>
      <c r="T47" s="190">
        <f>SUMIFS(MasterTable[Arrears + All Contractual Commitments (value next FY)],MasterTable[[Project Code and Name ]],PAProjects[[#This Row],[LINKING_CODE]],MasterTable[Funding Source],"External Financing")/10^9</f>
        <v>0</v>
      </c>
      <c r="U47" s="191">
        <f>PAProjects[[#This Row],[GOU 21/22]]+PAProjects[[#This Row],[DONOR 21/22]]</f>
        <v>12.293210999999999</v>
      </c>
      <c r="V47" s="192">
        <f>SUMIFS(MasterTable[FY1 (FY22-23)],MasterTable[[Project Code and Name ]],PAProjects[[#This Row],[LINKING_CODE]],MasterTable[Funding Source],"GoU Funded")/10^9</f>
        <v>0</v>
      </c>
      <c r="W47" s="193">
        <f>SUMIFS(MasterTable[FY1 (FY22-23)],MasterTable[[Project Code and Name ]],PAProjects[[#This Row],[LINKING_CODE]],MasterTable[Funding Source],"External Financing")/10^9</f>
        <v>0</v>
      </c>
      <c r="X47" s="191">
        <f>PAProjects[[#This Row],[GOU 22/23]]+PAProjects[[#This Row],[DONOR 22/23]]</f>
        <v>0</v>
      </c>
      <c r="Y47" s="193">
        <f>SUMIFS(MasterTable[FY2 (FY23-24)],MasterTable[[Project Code and Name ]],PAProjects[[#This Row],[LINKING_CODE]],MasterTable[Funding Source],"GoU Funded")/10^9</f>
        <v>0</v>
      </c>
      <c r="Z47" s="193">
        <f>SUMIFS(MasterTable[FY2 (FY23-24)],MasterTable[[Project Code and Name ]],PAProjects[[#This Row],[LINKING_CODE]],MasterTable[Funding Source],"External Financing")/10^9</f>
        <v>0</v>
      </c>
      <c r="AA47" s="175">
        <f t="shared" si="2"/>
        <v>0</v>
      </c>
      <c r="AB47" s="193">
        <f>SUMIFS(MasterTable[FY3 (FY24-25)],MasterTable[[Project Code and Name ]],PAProjects[[#This Row],[LINKING_CODE]],MasterTable[Funding Source],"GoU Funded")/10^9</f>
        <v>0</v>
      </c>
      <c r="AC47" s="193">
        <f>SUMIFS(MasterTable[FY3 (FY24-25)],MasterTable[[Project Code and Name ]],PAProjects[[#This Row],[LINKING_CODE]],MasterTable[Funding Source],"External Financing")/10^9</f>
        <v>0</v>
      </c>
      <c r="AD47" s="191">
        <f>PAProjects[[#This Row],[GOU 24/25]]+PAProjects[[#This Row],[DONOR 24/25]]</f>
        <v>0</v>
      </c>
    </row>
    <row r="48" spans="1:30" ht="15" customHeight="1" x14ac:dyDescent="0.25">
      <c r="A48" s="180" t="s">
        <v>609</v>
      </c>
      <c r="B48" s="175" t="s">
        <v>55</v>
      </c>
      <c r="C48" s="175" t="e">
        <f ca="1">PAProjects[[#This Row],[LINKING_CODE]]=_xlfn.CONCAT(PAProjects[[#This Row],[Project Code]]," ",PAProjects[[#This Row],[Project Name]])</f>
        <v>#NAME?</v>
      </c>
      <c r="D48" s="175" t="str">
        <f>VLOOKUP(PAProjects[[#This Row],[LINKING_CODE]],MasterTable[[Project Code and Name ]],1,FALSE)</f>
        <v>1352 Midstream Petroleum Infrastructure Development Project</v>
      </c>
      <c r="E48" s="175" t="s">
        <v>513</v>
      </c>
      <c r="F48" s="175" t="s">
        <v>1089</v>
      </c>
      <c r="G48" s="175" t="s">
        <v>66</v>
      </c>
      <c r="H48" s="175" t="str">
        <f>VLOOKUP(I48,'Program Codes'!C:D,2,FALSE)</f>
        <v>11</v>
      </c>
      <c r="I48" s="175" t="s">
        <v>1095</v>
      </c>
      <c r="J48" s="175" t="s">
        <v>1097</v>
      </c>
      <c r="K48" s="175" t="s">
        <v>1098</v>
      </c>
      <c r="L48" s="175" t="s">
        <v>1509</v>
      </c>
      <c r="M48" s="182">
        <v>42186</v>
      </c>
      <c r="N48" s="182">
        <v>44742</v>
      </c>
      <c r="O48" s="198">
        <v>570.96</v>
      </c>
      <c r="P48" s="174"/>
      <c r="Q48" s="174">
        <f t="shared" si="3"/>
        <v>570.96</v>
      </c>
      <c r="R48" s="189">
        <v>0</v>
      </c>
      <c r="S48" s="190">
        <f>SUMIFS(MasterTable[Arrears + All Contractual Commitments (value next FY)],MasterTable[[Project Code and Name ]],PAProjects[[#This Row],[LINKING_CODE]],MasterTable[Funding Source],"GoU Funded")/10^9</f>
        <v>5.51</v>
      </c>
      <c r="T48" s="190">
        <f>SUMIFS(MasterTable[Arrears + All Contractual Commitments (value next FY)],MasterTable[[Project Code and Name ]],PAProjects[[#This Row],[LINKING_CODE]],MasterTable[Funding Source],"External Financing")/10^9</f>
        <v>0</v>
      </c>
      <c r="U48" s="191">
        <f>PAProjects[[#This Row],[GOU 21/22]]+PAProjects[[#This Row],[DONOR 21/22]]</f>
        <v>5.51</v>
      </c>
      <c r="V48" s="192">
        <f>SUMIFS(MasterTable[FY1 (FY22-23)],MasterTable[[Project Code and Name ]],PAProjects[[#This Row],[LINKING_CODE]],MasterTable[Funding Source],"GoU Funded")/10^9</f>
        <v>0</v>
      </c>
      <c r="W48" s="193">
        <f>SUMIFS(MasterTable[FY1 (FY22-23)],MasterTable[[Project Code and Name ]],PAProjects[[#This Row],[LINKING_CODE]],MasterTable[Funding Source],"External Financing")/10^9</f>
        <v>0</v>
      </c>
      <c r="X48" s="191">
        <f>PAProjects[[#This Row],[GOU 22/23]]+PAProjects[[#This Row],[DONOR 22/23]]</f>
        <v>0</v>
      </c>
      <c r="Y48" s="193">
        <f>SUMIFS(MasterTable[FY2 (FY23-24)],MasterTable[[Project Code and Name ]],PAProjects[[#This Row],[LINKING_CODE]],MasterTable[Funding Source],"GoU Funded")/10^9</f>
        <v>0</v>
      </c>
      <c r="Z48" s="193">
        <f>SUMIFS(MasterTable[FY2 (FY23-24)],MasterTable[[Project Code and Name ]],PAProjects[[#This Row],[LINKING_CODE]],MasterTable[Funding Source],"External Financing")/10^9</f>
        <v>0</v>
      </c>
      <c r="AA48" s="175">
        <f t="shared" si="2"/>
        <v>0</v>
      </c>
      <c r="AB48" s="193">
        <f>SUMIFS(MasterTable[FY3 (FY24-25)],MasterTable[[Project Code and Name ]],PAProjects[[#This Row],[LINKING_CODE]],MasterTable[Funding Source],"GoU Funded")/10^9</f>
        <v>0</v>
      </c>
      <c r="AC48" s="193">
        <f>SUMIFS(MasterTable[FY3 (FY24-25)],MasterTable[[Project Code and Name ]],PAProjects[[#This Row],[LINKING_CODE]],MasterTable[Funding Source],"External Financing")/10^9</f>
        <v>0</v>
      </c>
      <c r="AD48" s="191">
        <f>PAProjects[[#This Row],[GOU 24/25]]+PAProjects[[#This Row],[DONOR 24/25]]</f>
        <v>0</v>
      </c>
    </row>
    <row r="49" spans="1:30" ht="15" customHeight="1" x14ac:dyDescent="0.25">
      <c r="A49" s="180" t="s">
        <v>611</v>
      </c>
      <c r="B49" s="175" t="s">
        <v>61</v>
      </c>
      <c r="C49" s="175" t="e">
        <f ca="1">PAProjects[[#This Row],[LINKING_CODE]]=_xlfn.CONCAT(PAProjects[[#This Row],[Project Code]]," ",PAProjects[[#This Row],[Project Name]])</f>
        <v>#NAME?</v>
      </c>
      <c r="D49" s="175" t="str">
        <f>VLOOKUP(PAProjects[[#This Row],[LINKING_CODE]],MasterTable[[Project Code and Name ]],1,FALSE)</f>
        <v>1353 Mineral Wealth and Mining Infrastructure Development</v>
      </c>
      <c r="E49" s="175" t="s">
        <v>513</v>
      </c>
      <c r="F49" s="175" t="s">
        <v>1089</v>
      </c>
      <c r="G49" s="175" t="s">
        <v>66</v>
      </c>
      <c r="H49" s="175" t="str">
        <f>VLOOKUP(I49,'Program Codes'!C:D,2,FALSE)</f>
        <v>10</v>
      </c>
      <c r="I49" s="175" t="s">
        <v>1093</v>
      </c>
      <c r="J49" s="175" t="s">
        <v>1090</v>
      </c>
      <c r="K49" s="175" t="s">
        <v>1091</v>
      </c>
      <c r="L49" s="175" t="s">
        <v>1509</v>
      </c>
      <c r="M49" s="182">
        <v>42186</v>
      </c>
      <c r="N49" s="182">
        <v>44742</v>
      </c>
      <c r="O49" s="183">
        <v>41.317999999999998</v>
      </c>
      <c r="P49" s="174"/>
      <c r="Q49" s="174">
        <f t="shared" si="3"/>
        <v>41.317999999999998</v>
      </c>
      <c r="R49" s="189">
        <v>0</v>
      </c>
      <c r="S49" s="190">
        <f>SUMIFS(MasterTable[Arrears + All Contractual Commitments (value next FY)],MasterTable[[Project Code and Name ]],PAProjects[[#This Row],[LINKING_CODE]],MasterTable[Funding Source],"GoU Funded")/10^9</f>
        <v>13.354378000000001</v>
      </c>
      <c r="T49" s="190">
        <f>SUMIFS(MasterTable[Arrears + All Contractual Commitments (value next FY)],MasterTable[[Project Code and Name ]],PAProjects[[#This Row],[LINKING_CODE]],MasterTable[Funding Source],"External Financing")/10^9</f>
        <v>0</v>
      </c>
      <c r="U49" s="191">
        <f>PAProjects[[#This Row],[GOU 21/22]]+PAProjects[[#This Row],[DONOR 21/22]]</f>
        <v>13.354378000000001</v>
      </c>
      <c r="V49" s="192">
        <f>SUMIFS(MasterTable[FY1 (FY22-23)],MasterTable[[Project Code and Name ]],PAProjects[[#This Row],[LINKING_CODE]],MasterTable[Funding Source],"GoU Funded")/10^9</f>
        <v>0</v>
      </c>
      <c r="W49" s="193">
        <f>SUMIFS(MasterTable[FY1 (FY22-23)],MasterTable[[Project Code and Name ]],PAProjects[[#This Row],[LINKING_CODE]],MasterTable[Funding Source],"External Financing")/10^9</f>
        <v>0</v>
      </c>
      <c r="X49" s="191">
        <f>PAProjects[[#This Row],[GOU 22/23]]+PAProjects[[#This Row],[DONOR 22/23]]</f>
        <v>0</v>
      </c>
      <c r="Y49" s="193">
        <f>SUMIFS(MasterTable[FY2 (FY23-24)],MasterTable[[Project Code and Name ]],PAProjects[[#This Row],[LINKING_CODE]],MasterTable[Funding Source],"GoU Funded")/10^9</f>
        <v>0</v>
      </c>
      <c r="Z49" s="193">
        <f>SUMIFS(MasterTable[FY2 (FY23-24)],MasterTable[[Project Code and Name ]],PAProjects[[#This Row],[LINKING_CODE]],MasterTable[Funding Source],"External Financing")/10^9</f>
        <v>0</v>
      </c>
      <c r="AA49" s="175">
        <f t="shared" si="2"/>
        <v>0</v>
      </c>
      <c r="AB49" s="193">
        <f>SUMIFS(MasterTable[FY3 (FY24-25)],MasterTable[[Project Code and Name ]],PAProjects[[#This Row],[LINKING_CODE]],MasterTable[Funding Source],"GoU Funded")/10^9</f>
        <v>0</v>
      </c>
      <c r="AC49" s="193">
        <f>SUMIFS(MasterTable[FY3 (FY24-25)],MasterTable[[Project Code and Name ]],PAProjects[[#This Row],[LINKING_CODE]],MasterTable[Funding Source],"External Financing")/10^9</f>
        <v>0</v>
      </c>
      <c r="AD49" s="191">
        <f>PAProjects[[#This Row],[GOU 24/25]]+PAProjects[[#This Row],[DONOR 24/25]]</f>
        <v>0</v>
      </c>
    </row>
    <row r="50" spans="1:30" ht="15" customHeight="1" x14ac:dyDescent="0.25">
      <c r="A50" s="180" t="s">
        <v>613</v>
      </c>
      <c r="B50" s="175" t="s">
        <v>56</v>
      </c>
      <c r="C50" s="175" t="e">
        <f ca="1">PAProjects[[#This Row],[LINKING_CODE]]=_xlfn.CONCAT(PAProjects[[#This Row],[Project Code]]," ",PAProjects[[#This Row],[Project Name]])</f>
        <v>#NAME?</v>
      </c>
      <c r="D50" s="175" t="str">
        <f>VLOOKUP(PAProjects[[#This Row],[LINKING_CODE]],MasterTable[[Project Code and Name ]],1,FALSE)</f>
        <v>1355 Strengthening the Development and Production Phases of Oil and Gas Sector</v>
      </c>
      <c r="E50" s="175" t="s">
        <v>513</v>
      </c>
      <c r="F50" s="175" t="s">
        <v>1089</v>
      </c>
      <c r="G50" s="175" t="s">
        <v>66</v>
      </c>
      <c r="H50" s="175" t="str">
        <f>VLOOKUP(I50,'Program Codes'!C:D,2,FALSE)</f>
        <v>11</v>
      </c>
      <c r="I50" s="175" t="s">
        <v>1095</v>
      </c>
      <c r="J50" s="175" t="s">
        <v>1099</v>
      </c>
      <c r="K50" s="175" t="s">
        <v>559</v>
      </c>
      <c r="L50" s="175" t="s">
        <v>1509</v>
      </c>
      <c r="M50" s="182">
        <v>42186</v>
      </c>
      <c r="N50" s="182">
        <v>44742</v>
      </c>
      <c r="O50" s="198">
        <v>115.10899999999999</v>
      </c>
      <c r="P50" s="199">
        <v>22.667999999999999</v>
      </c>
      <c r="Q50" s="174">
        <f t="shared" si="3"/>
        <v>137.77699999999999</v>
      </c>
      <c r="R50" s="189">
        <v>0</v>
      </c>
      <c r="S50" s="190">
        <f>SUMIFS(MasterTable[Arrears + All Contractual Commitments (value next FY)],MasterTable[[Project Code and Name ]],PAProjects[[#This Row],[LINKING_CODE]],MasterTable[Funding Source],"GoU Funded")/10^9</f>
        <v>8.5299999999999994</v>
      </c>
      <c r="T50" s="190">
        <f>SUMIFS(MasterTable[Arrears + All Contractual Commitments (value next FY)],MasterTable[[Project Code and Name ]],PAProjects[[#This Row],[LINKING_CODE]],MasterTable[Funding Source],"External Financing")/10^9</f>
        <v>0</v>
      </c>
      <c r="U50" s="191">
        <f>PAProjects[[#This Row],[GOU 21/22]]+PAProjects[[#This Row],[DONOR 21/22]]</f>
        <v>8.5299999999999994</v>
      </c>
      <c r="V50" s="192">
        <f>SUMIFS(MasterTable[FY1 (FY22-23)],MasterTable[[Project Code and Name ]],PAProjects[[#This Row],[LINKING_CODE]],MasterTable[Funding Source],"GoU Funded")/10^9</f>
        <v>0</v>
      </c>
      <c r="W50" s="193">
        <f>SUMIFS(MasterTable[FY1 (FY22-23)],MasterTable[[Project Code and Name ]],PAProjects[[#This Row],[LINKING_CODE]],MasterTable[Funding Source],"External Financing")/10^9</f>
        <v>0</v>
      </c>
      <c r="X50" s="191">
        <f>PAProjects[[#This Row],[GOU 22/23]]+PAProjects[[#This Row],[DONOR 22/23]]</f>
        <v>0</v>
      </c>
      <c r="Y50" s="193">
        <f>SUMIFS(MasterTable[FY2 (FY23-24)],MasterTable[[Project Code and Name ]],PAProjects[[#This Row],[LINKING_CODE]],MasterTable[Funding Source],"GoU Funded")/10^9</f>
        <v>0</v>
      </c>
      <c r="Z50" s="193">
        <f>SUMIFS(MasterTable[FY2 (FY23-24)],MasterTable[[Project Code and Name ]],PAProjects[[#This Row],[LINKING_CODE]],MasterTable[Funding Source],"External Financing")/10^9</f>
        <v>0</v>
      </c>
      <c r="AA50" s="175">
        <f t="shared" si="2"/>
        <v>0</v>
      </c>
      <c r="AB50" s="193">
        <f>SUMIFS(MasterTable[FY3 (FY24-25)],MasterTable[[Project Code and Name ]],PAProjects[[#This Row],[LINKING_CODE]],MasterTable[Funding Source],"GoU Funded")/10^9</f>
        <v>0</v>
      </c>
      <c r="AC50" s="193">
        <f>SUMIFS(MasterTable[FY3 (FY24-25)],MasterTable[[Project Code and Name ]],PAProjects[[#This Row],[LINKING_CODE]],MasterTable[Funding Source],"External Financing")/10^9</f>
        <v>0</v>
      </c>
      <c r="AD50" s="191">
        <f>PAProjects[[#This Row],[GOU 24/25]]+PAProjects[[#This Row],[DONOR 24/25]]</f>
        <v>0</v>
      </c>
    </row>
    <row r="51" spans="1:30" ht="15" customHeight="1" x14ac:dyDescent="0.25">
      <c r="A51" s="180" t="s">
        <v>614</v>
      </c>
      <c r="B51" s="175" t="s">
        <v>484</v>
      </c>
      <c r="C51" s="175" t="e">
        <f ca="1">PAProjects[[#This Row],[LINKING_CODE]]=_xlfn.CONCAT(PAProjects[[#This Row],[Project Code]]," ",PAProjects[[#This Row],[Project Name]])</f>
        <v>#NAME?</v>
      </c>
      <c r="D51" s="175" t="str">
        <f>VLOOKUP(PAProjects[[#This Row],[LINKING_CODE]],MasterTable[[Project Code and Name ]],1,FALSE)</f>
        <v>1360 Markets and Agricultural Trade Improvements Programme (MATIP 2)</v>
      </c>
      <c r="E51" s="175" t="s">
        <v>540</v>
      </c>
      <c r="F51" s="175" t="s">
        <v>931</v>
      </c>
      <c r="G51" s="175" t="s">
        <v>932</v>
      </c>
      <c r="H51" s="175" t="str">
        <f>VLOOKUP(I51,'Program Codes'!C:D,2,FALSE)</f>
        <v>01</v>
      </c>
      <c r="I51" s="175" t="s">
        <v>928</v>
      </c>
      <c r="J51" s="175" t="s">
        <v>874</v>
      </c>
      <c r="K51" s="175" t="s">
        <v>933</v>
      </c>
      <c r="L51" s="175" t="s">
        <v>1509</v>
      </c>
      <c r="M51" s="182">
        <v>42186</v>
      </c>
      <c r="N51" s="182">
        <v>44742</v>
      </c>
      <c r="O51" s="183">
        <v>328.05500000000001</v>
      </c>
      <c r="P51" s="174"/>
      <c r="Q51" s="174">
        <f t="shared" si="3"/>
        <v>328.05500000000001</v>
      </c>
      <c r="R51" s="189">
        <v>0</v>
      </c>
      <c r="S51" s="190">
        <f>SUMIFS(MasterTable[Arrears + All Contractual Commitments (value next FY)],MasterTable[[Project Code and Name ]],PAProjects[[#This Row],[LINKING_CODE]],MasterTable[Funding Source],"GoU Funded")/10^9</f>
        <v>2.2000000000000002</v>
      </c>
      <c r="T51" s="190">
        <f>SUMIFS(MasterTable[Arrears + All Contractual Commitments (value next FY)],MasterTable[[Project Code and Name ]],PAProjects[[#This Row],[LINKING_CODE]],MasterTable[Funding Source],"External Financing")/10^9</f>
        <v>68.400000000000006</v>
      </c>
      <c r="U51" s="202">
        <f>PAProjects[[#This Row],[GOU 21/22]]+PAProjects[[#This Row],[DONOR 21/22]]</f>
        <v>70.600000000000009</v>
      </c>
      <c r="V51" s="192">
        <f>SUMIFS(MasterTable[FY1 (FY22-23)],MasterTable[[Project Code and Name ]],PAProjects[[#This Row],[LINKING_CODE]],MasterTable[Funding Source],"GoU Funded")/10^9</f>
        <v>0</v>
      </c>
      <c r="W51" s="193">
        <f>SUMIFS(MasterTable[FY1 (FY22-23)],MasterTable[[Project Code and Name ]],PAProjects[[#This Row],[LINKING_CODE]],MasterTable[Funding Source],"External Financing")/10^9</f>
        <v>0</v>
      </c>
      <c r="X51" s="191">
        <f>PAProjects[[#This Row],[GOU 22/23]]+PAProjects[[#This Row],[DONOR 22/23]]</f>
        <v>0</v>
      </c>
      <c r="Y51" s="193">
        <f>SUMIFS(MasterTable[FY2 (FY23-24)],MasterTable[[Project Code and Name ]],PAProjects[[#This Row],[LINKING_CODE]],MasterTable[Funding Source],"GoU Funded")/10^9</f>
        <v>0</v>
      </c>
      <c r="Z51" s="193">
        <f>SUMIFS(MasterTable[FY2 (FY23-24)],MasterTable[[Project Code and Name ]],PAProjects[[#This Row],[LINKING_CODE]],MasterTable[Funding Source],"External Financing")/10^9</f>
        <v>0</v>
      </c>
      <c r="AA51" s="175"/>
      <c r="AB51" s="193">
        <f>SUMIFS(MasterTable[FY3 (FY24-25)],MasterTable[[Project Code and Name ]],PAProjects[[#This Row],[LINKING_CODE]],MasterTable[Funding Source],"GoU Funded")/10^9</f>
        <v>0</v>
      </c>
      <c r="AC51" s="193">
        <f>SUMIFS(MasterTable[FY3 (FY24-25)],MasterTable[[Project Code and Name ]],PAProjects[[#This Row],[LINKING_CODE]],MasterTable[Funding Source],"External Financing")/10^9</f>
        <v>0</v>
      </c>
      <c r="AD51" s="191">
        <f>PAProjects[[#This Row],[GOU 24/25]]+PAProjects[[#This Row],[DONOR 24/25]]</f>
        <v>0</v>
      </c>
    </row>
    <row r="52" spans="1:30" ht="15" customHeight="1" x14ac:dyDescent="0.25">
      <c r="A52" s="180" t="s">
        <v>617</v>
      </c>
      <c r="B52" s="175" t="s">
        <v>426</v>
      </c>
      <c r="C52" s="175" t="e">
        <f ca="1">PAProjects[[#This Row],[LINKING_CODE]]=_xlfn.CONCAT(PAProjects[[#This Row],[Project Code]]," ",PAProjects[[#This Row],[Project Name]])</f>
        <v>#NAME?</v>
      </c>
      <c r="D52" s="175" t="str">
        <f>VLOOKUP(PAProjects[[#This Row],[LINKING_CODE]],MasterTable[[Project Code and Name ]],1,FALSE)</f>
        <v>1373 Entebbe Airport Rehabilitation Phase 1</v>
      </c>
      <c r="E52" s="175" t="s">
        <v>515</v>
      </c>
      <c r="F52" s="175" t="s">
        <v>944</v>
      </c>
      <c r="G52" s="175" t="s">
        <v>99</v>
      </c>
      <c r="H52" s="175" t="str">
        <f>VLOOKUP(I52,'Program Codes'!C:D,2,FALSE)</f>
        <v>08</v>
      </c>
      <c r="I52" s="175" t="s">
        <v>1007</v>
      </c>
      <c r="J52" s="175" t="s">
        <v>1009</v>
      </c>
      <c r="K52" s="175" t="s">
        <v>1010</v>
      </c>
      <c r="L52" s="175" t="s">
        <v>1509</v>
      </c>
      <c r="M52" s="188">
        <v>41456</v>
      </c>
      <c r="N52" s="182">
        <v>44742</v>
      </c>
      <c r="O52" s="183"/>
      <c r="P52" s="184">
        <v>750</v>
      </c>
      <c r="Q52" s="174">
        <f t="shared" si="3"/>
        <v>750</v>
      </c>
      <c r="R52" s="189">
        <v>0</v>
      </c>
      <c r="S52" s="190">
        <f>SUMIFS(MasterTable[Arrears + All Contractual Commitments (value next FY)],MasterTable[[Project Code and Name ]],PAProjects[[#This Row],[LINKING_CODE]],MasterTable[Funding Source],"GoU Funded")/10^9</f>
        <v>0</v>
      </c>
      <c r="T52" s="190">
        <f>SUMIFS(MasterTable[Arrears + All Contractual Commitments (value next FY)],MasterTable[[Project Code and Name ]],PAProjects[[#This Row],[LINKING_CODE]],MasterTable[Funding Source],"External Financing")/10^9</f>
        <v>117.943</v>
      </c>
      <c r="U52" s="191">
        <f>PAProjects[[#This Row],[GOU 21/22]]+PAProjects[[#This Row],[DONOR 21/22]]</f>
        <v>117.943</v>
      </c>
      <c r="V52" s="192">
        <f>SUMIFS(MasterTable[FY1 (FY22-23)],MasterTable[[Project Code and Name ]],PAProjects[[#This Row],[LINKING_CODE]],MasterTable[Funding Source],"GoU Funded")/10^9</f>
        <v>0</v>
      </c>
      <c r="W52" s="193">
        <f>SUMIFS(MasterTable[FY1 (FY22-23)],MasterTable[[Project Code and Name ]],PAProjects[[#This Row],[LINKING_CODE]],MasterTable[Funding Source],"External Financing")/10^9</f>
        <v>0</v>
      </c>
      <c r="X52" s="191">
        <f>PAProjects[[#This Row],[GOU 22/23]]+PAProjects[[#This Row],[DONOR 22/23]]</f>
        <v>0</v>
      </c>
      <c r="Y52" s="193">
        <f>SUMIFS(MasterTable[FY2 (FY23-24)],MasterTable[[Project Code and Name ]],PAProjects[[#This Row],[LINKING_CODE]],MasterTable[Funding Source],"GoU Funded")/10^9</f>
        <v>0</v>
      </c>
      <c r="Z52" s="193">
        <f>SUMIFS(MasterTable[FY2 (FY23-24)],MasterTable[[Project Code and Name ]],PAProjects[[#This Row],[LINKING_CODE]],MasterTable[Funding Source],"External Financing")/10^9</f>
        <v>0</v>
      </c>
      <c r="AA52" s="175">
        <f>Y52+Z52</f>
        <v>0</v>
      </c>
      <c r="AB52" s="193">
        <f>SUMIFS(MasterTable[FY3 (FY24-25)],MasterTable[[Project Code and Name ]],PAProjects[[#This Row],[LINKING_CODE]],MasterTable[Funding Source],"GoU Funded")/10^9</f>
        <v>0</v>
      </c>
      <c r="AC52" s="193">
        <f>SUMIFS(MasterTable[FY3 (FY24-25)],MasterTable[[Project Code and Name ]],PAProjects[[#This Row],[LINKING_CODE]],MasterTable[Funding Source],"External Financing")/10^9</f>
        <v>0</v>
      </c>
      <c r="AD52" s="191">
        <f>PAProjects[[#This Row],[GOU 24/25]]+PAProjects[[#This Row],[DONOR 24/25]]</f>
        <v>0</v>
      </c>
    </row>
    <row r="53" spans="1:30" ht="15" customHeight="1" x14ac:dyDescent="0.25">
      <c r="A53" s="180" t="s">
        <v>620</v>
      </c>
      <c r="B53" s="175" t="s">
        <v>485</v>
      </c>
      <c r="C53" s="175" t="e">
        <f ca="1">PAProjects[[#This Row],[LINKING_CODE]]=_xlfn.CONCAT(PAProjects[[#This Row],[Project Code]]," ",PAProjects[[#This Row],[Project Name]])</f>
        <v>#NAME?</v>
      </c>
      <c r="D53" s="175" t="str">
        <f>VLOOKUP(PAProjects[[#This Row],[LINKING_CODE]],MasterTable[[Project Code and Name ]],1,FALSE)</f>
        <v>1381 Restoration of Livelihoods in Northern Region (PRELNOR)</v>
      </c>
      <c r="E53" s="175" t="s">
        <v>540</v>
      </c>
      <c r="F53" s="175" t="s">
        <v>931</v>
      </c>
      <c r="G53" s="175" t="s">
        <v>932</v>
      </c>
      <c r="H53" s="175" t="str">
        <f>VLOOKUP(I53,'Program Codes'!C:D,2,FALSE)</f>
        <v>02</v>
      </c>
      <c r="I53" s="175" t="s">
        <v>936</v>
      </c>
      <c r="J53" s="175" t="s">
        <v>875</v>
      </c>
      <c r="K53" s="175" t="s">
        <v>876</v>
      </c>
      <c r="L53" s="175" t="s">
        <v>1509</v>
      </c>
      <c r="M53" s="182">
        <v>42186</v>
      </c>
      <c r="N53" s="182">
        <v>44742</v>
      </c>
      <c r="O53" s="183">
        <v>248.15</v>
      </c>
      <c r="P53" s="174"/>
      <c r="Q53" s="174">
        <f t="shared" si="3"/>
        <v>248.15</v>
      </c>
      <c r="R53" s="189">
        <v>0</v>
      </c>
      <c r="S53" s="190">
        <f>SUMIFS(MasterTable[Arrears + All Contractual Commitments (value next FY)],MasterTable[[Project Code and Name ]],PAProjects[[#This Row],[LINKING_CODE]],MasterTable[Funding Source],"GoU Funded")/10^9</f>
        <v>13.409927981999999</v>
      </c>
      <c r="T53" s="190">
        <f>SUMIFS(MasterTable[Arrears + All Contractual Commitments (value next FY)],MasterTable[[Project Code and Name ]],PAProjects[[#This Row],[LINKING_CODE]],MasterTable[Funding Source],"External Financing")/10^9</f>
        <v>37.9653226</v>
      </c>
      <c r="U53" s="202">
        <f>PAProjects[[#This Row],[GOU 21/22]]+PAProjects[[#This Row],[DONOR 21/22]]</f>
        <v>51.375250582</v>
      </c>
      <c r="V53" s="192">
        <f>SUMIFS(MasterTable[FY1 (FY22-23)],MasterTable[[Project Code and Name ]],PAProjects[[#This Row],[LINKING_CODE]],MasterTable[Funding Source],"GoU Funded")/10^9</f>
        <v>0</v>
      </c>
      <c r="W53" s="193">
        <f>SUMIFS(MasterTable[FY1 (FY22-23)],MasterTable[[Project Code and Name ]],PAProjects[[#This Row],[LINKING_CODE]],MasterTable[Funding Source],"External Financing")/10^9</f>
        <v>0</v>
      </c>
      <c r="X53" s="191">
        <f>PAProjects[[#This Row],[GOU 22/23]]+PAProjects[[#This Row],[DONOR 22/23]]</f>
        <v>0</v>
      </c>
      <c r="Y53" s="193">
        <f>SUMIFS(MasterTable[FY2 (FY23-24)],MasterTable[[Project Code and Name ]],PAProjects[[#This Row],[LINKING_CODE]],MasterTable[Funding Source],"GoU Funded")/10^9</f>
        <v>0</v>
      </c>
      <c r="Z53" s="193">
        <f>SUMIFS(MasterTable[FY2 (FY23-24)],MasterTable[[Project Code and Name ]],PAProjects[[#This Row],[LINKING_CODE]],MasterTable[Funding Source],"External Financing")/10^9</f>
        <v>0</v>
      </c>
      <c r="AA53" s="175"/>
      <c r="AB53" s="193">
        <f>SUMIFS(MasterTable[FY3 (FY24-25)],MasterTable[[Project Code and Name ]],PAProjects[[#This Row],[LINKING_CODE]],MasterTable[Funding Source],"GoU Funded")/10^9</f>
        <v>0</v>
      </c>
      <c r="AC53" s="193">
        <f>SUMIFS(MasterTable[FY3 (FY24-25)],MasterTable[[Project Code and Name ]],PAProjects[[#This Row],[LINKING_CODE]],MasterTable[Funding Source],"External Financing")/10^9</f>
        <v>0</v>
      </c>
      <c r="AD53" s="191">
        <f>PAProjects[[#This Row],[GOU 24/25]]+PAProjects[[#This Row],[DONOR 24/25]]</f>
        <v>0</v>
      </c>
    </row>
    <row r="54" spans="1:30" ht="15" customHeight="1" x14ac:dyDescent="0.25">
      <c r="A54" s="180" t="s">
        <v>623</v>
      </c>
      <c r="B54" s="175" t="s">
        <v>44</v>
      </c>
      <c r="C54" s="175" t="e">
        <f ca="1">PAProjects[[#This Row],[LINKING_CODE]]=_xlfn.CONCAT(PAProjects[[#This Row],[Project Code]]," ",PAProjects[[#This Row],[Project Name]])</f>
        <v>#NAME?</v>
      </c>
      <c r="D54" s="175" t="str">
        <f>VLOOKUP(PAProjects[[#This Row],[LINKING_CODE]],MasterTable[[Project Code and Name ]],1,FALSE)</f>
        <v>1388 Mbale-Bulambuli (Atari) 132KV transmission line and Associated Substation</v>
      </c>
      <c r="E54" s="175" t="s">
        <v>513</v>
      </c>
      <c r="F54" s="175" t="s">
        <v>1089</v>
      </c>
      <c r="G54" s="175" t="s">
        <v>66</v>
      </c>
      <c r="H54" s="175" t="str">
        <f>VLOOKUP(I54,'Program Codes'!C:D,2,FALSE)</f>
        <v>15</v>
      </c>
      <c r="I54" s="175" t="s">
        <v>1251</v>
      </c>
      <c r="J54" s="175" t="s">
        <v>1248</v>
      </c>
      <c r="K54" s="175" t="s">
        <v>1249</v>
      </c>
      <c r="L54" s="175" t="s">
        <v>1509</v>
      </c>
      <c r="M54" s="182">
        <v>42552</v>
      </c>
      <c r="N54" s="182">
        <v>44742</v>
      </c>
      <c r="O54" s="198">
        <v>17.334</v>
      </c>
      <c r="P54" s="174"/>
      <c r="Q54" s="174">
        <f t="shared" si="3"/>
        <v>17.334</v>
      </c>
      <c r="R54" s="189">
        <v>0</v>
      </c>
      <c r="S54" s="190">
        <f>SUMIFS(MasterTable[Arrears + All Contractual Commitments (value next FY)],MasterTable[[Project Code and Name ]],PAProjects[[#This Row],[LINKING_CODE]],MasterTable[Funding Source],"GoU Funded")/10^9</f>
        <v>5.34</v>
      </c>
      <c r="T54" s="190">
        <f>SUMIFS(MasterTable[Arrears + All Contractual Commitments (value next FY)],MasterTable[[Project Code and Name ]],PAProjects[[#This Row],[LINKING_CODE]],MasterTable[Funding Source],"External Financing")/10^9</f>
        <v>7.69</v>
      </c>
      <c r="U54" s="196">
        <f>PAProjects[[#This Row],[GOU 21/22]]+PAProjects[[#This Row],[DONOR 21/22]]</f>
        <v>13.030000000000001</v>
      </c>
      <c r="V54" s="192">
        <f>SUMIFS(MasterTable[FY1 (FY22-23)],MasterTable[[Project Code and Name ]],PAProjects[[#This Row],[LINKING_CODE]],MasterTable[Funding Source],"GoU Funded")/10^9</f>
        <v>0</v>
      </c>
      <c r="W54" s="193">
        <f>SUMIFS(MasterTable[FY1 (FY22-23)],MasterTable[[Project Code and Name ]],PAProjects[[#This Row],[LINKING_CODE]],MasterTable[Funding Source],"External Financing")/10^9</f>
        <v>0</v>
      </c>
      <c r="X54" s="191">
        <f>PAProjects[[#This Row],[GOU 22/23]]+PAProjects[[#This Row],[DONOR 22/23]]</f>
        <v>0</v>
      </c>
      <c r="Y54" s="193">
        <f>SUMIFS(MasterTable[FY2 (FY23-24)],MasterTable[[Project Code and Name ]],PAProjects[[#This Row],[LINKING_CODE]],MasterTable[Funding Source],"GoU Funded")/10^9</f>
        <v>0</v>
      </c>
      <c r="Z54" s="193">
        <f>SUMIFS(MasterTable[FY2 (FY23-24)],MasterTable[[Project Code and Name ]],PAProjects[[#This Row],[LINKING_CODE]],MasterTable[Funding Source],"External Financing")/10^9</f>
        <v>0</v>
      </c>
      <c r="AA54" s="175">
        <f t="shared" ref="AA54:AA71" si="4">Y54+Z54</f>
        <v>0</v>
      </c>
      <c r="AB54" s="193">
        <f>SUMIFS(MasterTable[FY3 (FY24-25)],MasterTable[[Project Code and Name ]],PAProjects[[#This Row],[LINKING_CODE]],MasterTable[Funding Source],"GoU Funded")/10^9</f>
        <v>0</v>
      </c>
      <c r="AC54" s="193">
        <f>SUMIFS(MasterTable[FY3 (FY24-25)],MasterTable[[Project Code and Name ]],PAProjects[[#This Row],[LINKING_CODE]],MasterTable[Funding Source],"External Financing")/10^9</f>
        <v>0</v>
      </c>
      <c r="AD54" s="191">
        <f>PAProjects[[#This Row],[GOU 24/25]]+PAProjects[[#This Row],[DONOR 24/25]]</f>
        <v>0</v>
      </c>
    </row>
    <row r="55" spans="1:30" ht="15" customHeight="1" x14ac:dyDescent="0.25">
      <c r="A55" s="180" t="s">
        <v>626</v>
      </c>
      <c r="B55" s="175" t="s">
        <v>45</v>
      </c>
      <c r="C55" s="175" t="e">
        <f ca="1">PAProjects[[#This Row],[LINKING_CODE]]=_xlfn.CONCAT(PAProjects[[#This Row],[Project Code]]," ",PAProjects[[#This Row],[Project Name]])</f>
        <v>#NAME?</v>
      </c>
      <c r="D55" s="175" t="str">
        <f>VLOOKUP(PAProjects[[#This Row],[LINKING_CODE]],MasterTable[[Project Code and Name ]],1,FALSE)</f>
        <v>1391 Lira-Gulu-Agago 132KV transmission project</v>
      </c>
      <c r="E55" s="175" t="s">
        <v>513</v>
      </c>
      <c r="F55" s="175" t="s">
        <v>1089</v>
      </c>
      <c r="G55" s="175" t="s">
        <v>66</v>
      </c>
      <c r="H55" s="175" t="str">
        <f>VLOOKUP(I55,'Program Codes'!C:D,2,FALSE)</f>
        <v>15</v>
      </c>
      <c r="I55" s="175" t="s">
        <v>1251</v>
      </c>
      <c r="J55" s="175" t="s">
        <v>1250</v>
      </c>
      <c r="K55" s="175" t="s">
        <v>567</v>
      </c>
      <c r="L55" s="175" t="s">
        <v>1509</v>
      </c>
      <c r="M55" s="182">
        <v>42552</v>
      </c>
      <c r="N55" s="182">
        <v>44742</v>
      </c>
      <c r="O55" s="198">
        <v>66</v>
      </c>
      <c r="P55" s="174"/>
      <c r="Q55" s="174">
        <f t="shared" si="3"/>
        <v>66</v>
      </c>
      <c r="R55" s="189">
        <v>0</v>
      </c>
      <c r="S55" s="190">
        <f>SUMIFS(MasterTable[Arrears + All Contractual Commitments (value next FY)],MasterTable[[Project Code and Name ]],PAProjects[[#This Row],[LINKING_CODE]],MasterTable[Funding Source],"GoU Funded")/10^9</f>
        <v>16.68</v>
      </c>
      <c r="T55" s="190">
        <f>SUMIFS(MasterTable[Arrears + All Contractual Commitments (value next FY)],MasterTable[[Project Code and Name ]],PAProjects[[#This Row],[LINKING_CODE]],MasterTable[Funding Source],"External Financing")/10^9</f>
        <v>15.39</v>
      </c>
      <c r="U55" s="191">
        <f>PAProjects[[#This Row],[GOU 21/22]]+PAProjects[[#This Row],[DONOR 21/22]]</f>
        <v>32.07</v>
      </c>
      <c r="V55" s="192">
        <f>SUMIFS(MasterTable[FY1 (FY22-23)],MasterTable[[Project Code and Name ]],PAProjects[[#This Row],[LINKING_CODE]],MasterTable[Funding Source],"GoU Funded")/10^9</f>
        <v>0</v>
      </c>
      <c r="W55" s="193">
        <f>SUMIFS(MasterTable[FY1 (FY22-23)],MasterTable[[Project Code and Name ]],PAProjects[[#This Row],[LINKING_CODE]],MasterTable[Funding Source],"External Financing")/10^9</f>
        <v>0</v>
      </c>
      <c r="X55" s="191">
        <f>PAProjects[[#This Row],[GOU 22/23]]+PAProjects[[#This Row],[DONOR 22/23]]</f>
        <v>0</v>
      </c>
      <c r="Y55" s="193">
        <f>SUMIFS(MasterTable[FY2 (FY23-24)],MasterTable[[Project Code and Name ]],PAProjects[[#This Row],[LINKING_CODE]],MasterTable[Funding Source],"GoU Funded")/10^9</f>
        <v>0</v>
      </c>
      <c r="Z55" s="193">
        <f>SUMIFS(MasterTable[FY2 (FY23-24)],MasterTable[[Project Code and Name ]],PAProjects[[#This Row],[LINKING_CODE]],MasterTable[Funding Source],"External Financing")/10^9</f>
        <v>0</v>
      </c>
      <c r="AA55" s="175">
        <f t="shared" si="4"/>
        <v>0</v>
      </c>
      <c r="AB55" s="193">
        <f>SUMIFS(MasterTable[FY3 (FY24-25)],MasterTable[[Project Code and Name ]],PAProjects[[#This Row],[LINKING_CODE]],MasterTable[Funding Source],"GoU Funded")/10^9</f>
        <v>0</v>
      </c>
      <c r="AC55" s="193">
        <f>SUMIFS(MasterTable[FY3 (FY24-25)],MasterTable[[Project Code and Name ]],PAProjects[[#This Row],[LINKING_CODE]],MasterTable[Funding Source],"External Financing")/10^9</f>
        <v>0</v>
      </c>
      <c r="AD55" s="191">
        <f>PAProjects[[#This Row],[GOU 24/25]]+PAProjects[[#This Row],[DONOR 24/25]]</f>
        <v>0</v>
      </c>
    </row>
    <row r="56" spans="1:30" ht="15" customHeight="1" x14ac:dyDescent="0.25">
      <c r="A56" s="180" t="s">
        <v>627</v>
      </c>
      <c r="B56" s="175" t="s">
        <v>404</v>
      </c>
      <c r="C56" s="175" t="e">
        <f ca="1">PAProjects[[#This Row],[LINKING_CODE]]=_xlfn.CONCAT(PAProjects[[#This Row],[Project Code]]," ",PAProjects[[#This Row],[Project Name]])</f>
        <v>#NAME?</v>
      </c>
      <c r="D56" s="175" t="str">
        <f>VLOOKUP(PAProjects[[#This Row],[LINKING_CODE]],MasterTable[[Project Code and Name ]],1,FALSE)</f>
        <v>1402 Rwenkunye- Apac- Lira-Acholibur road</v>
      </c>
      <c r="E56" s="175" t="s">
        <v>515</v>
      </c>
      <c r="F56" s="175" t="s">
        <v>944</v>
      </c>
      <c r="G56" s="175" t="s">
        <v>113</v>
      </c>
      <c r="H56" s="175" t="str">
        <f>VLOOKUP(I56,'Program Codes'!C:D,2,FALSE)</f>
        <v>08</v>
      </c>
      <c r="I56" s="175" t="s">
        <v>1007</v>
      </c>
      <c r="J56" s="175" t="s">
        <v>1062</v>
      </c>
      <c r="K56" s="175" t="s">
        <v>1063</v>
      </c>
      <c r="L56" s="175" t="s">
        <v>1509</v>
      </c>
      <c r="M56" s="188">
        <v>42552</v>
      </c>
      <c r="N56" s="182">
        <v>45838</v>
      </c>
      <c r="O56" s="183">
        <v>113.898</v>
      </c>
      <c r="P56" s="184">
        <v>542.68299999999999</v>
      </c>
      <c r="Q56" s="174">
        <f t="shared" si="3"/>
        <v>656.58100000000002</v>
      </c>
      <c r="R56" s="189">
        <v>0</v>
      </c>
      <c r="S56" s="190">
        <f>SUMIFS(MasterTable[Arrears + All Contractual Commitments (value next FY)],MasterTable[[Project Code and Name ]],PAProjects[[#This Row],[LINKING_CODE]],MasterTable[Funding Source],"GoU Funded")/10^9</f>
        <v>0.25</v>
      </c>
      <c r="T56" s="190">
        <f>SUMIFS(MasterTable[Arrears + All Contractual Commitments (value next FY)],MasterTable[[Project Code and Name ]],PAProjects[[#This Row],[LINKING_CODE]],MasterTable[Funding Source],"External Financing")/10^9</f>
        <v>0</v>
      </c>
      <c r="U56" s="191">
        <f>PAProjects[[#This Row],[GOU 21/22]]+PAProjects[[#This Row],[DONOR 21/22]]</f>
        <v>0.25</v>
      </c>
      <c r="V56" s="192">
        <f>SUMIFS(MasterTable[FY1 (FY22-23)],MasterTable[[Project Code and Name ]],PAProjects[[#This Row],[LINKING_CODE]],MasterTable[Funding Source],"GoU Funded")/10^9</f>
        <v>0</v>
      </c>
      <c r="W56" s="193">
        <f>SUMIFS(MasterTable[FY1 (FY22-23)],MasterTable[[Project Code and Name ]],PAProjects[[#This Row],[LINKING_CODE]],MasterTable[Funding Source],"External Financing")/10^9</f>
        <v>0</v>
      </c>
      <c r="X56" s="191">
        <f>PAProjects[[#This Row],[GOU 22/23]]+PAProjects[[#This Row],[DONOR 22/23]]</f>
        <v>0</v>
      </c>
      <c r="Y56" s="193">
        <f>SUMIFS(MasterTable[FY2 (FY23-24)],MasterTable[[Project Code and Name ]],PAProjects[[#This Row],[LINKING_CODE]],MasterTable[Funding Source],"GoU Funded")/10^9</f>
        <v>0</v>
      </c>
      <c r="Z56" s="193">
        <f>SUMIFS(MasterTable[FY2 (FY23-24)],MasterTable[[Project Code and Name ]],PAProjects[[#This Row],[LINKING_CODE]],MasterTable[Funding Source],"External Financing")/10^9</f>
        <v>0</v>
      </c>
      <c r="AA56" s="175">
        <f t="shared" si="4"/>
        <v>0</v>
      </c>
      <c r="AB56" s="193">
        <f>SUMIFS(MasterTable[FY3 (FY24-25)],MasterTable[[Project Code and Name ]],PAProjects[[#This Row],[LINKING_CODE]],MasterTable[Funding Source],"GoU Funded")/10^9</f>
        <v>0</v>
      </c>
      <c r="AC56" s="193">
        <f>SUMIFS(MasterTable[FY3 (FY24-25)],MasterTable[[Project Code and Name ]],PAProjects[[#This Row],[LINKING_CODE]],MasterTable[Funding Source],"External Financing")/10^9</f>
        <v>0</v>
      </c>
      <c r="AD56" s="202">
        <f>PAProjects[[#This Row],[GOU 24/25]]+PAProjects[[#This Row],[DONOR 24/25]]</f>
        <v>0</v>
      </c>
    </row>
    <row r="57" spans="1:30" ht="15" customHeight="1" x14ac:dyDescent="0.25">
      <c r="A57" s="180" t="s">
        <v>628</v>
      </c>
      <c r="B57" s="175" t="s">
        <v>405</v>
      </c>
      <c r="C57" s="175" t="e">
        <f ca="1">PAProjects[[#This Row],[LINKING_CODE]]=_xlfn.CONCAT(PAProjects[[#This Row],[Project Code]]," ",PAProjects[[#This Row],[Project Name]])</f>
        <v>#NAME?</v>
      </c>
      <c r="D57" s="175" t="str">
        <f>VLOOKUP(PAProjects[[#This Row],[LINKING_CODE]],MasterTable[[Project Code and Name ]],1,FALSE)</f>
        <v>1403 Soroti-Katakwi-Moroto-Lokitonyala road</v>
      </c>
      <c r="E57" s="175" t="s">
        <v>515</v>
      </c>
      <c r="F57" s="175" t="s">
        <v>944</v>
      </c>
      <c r="G57" s="175" t="s">
        <v>113</v>
      </c>
      <c r="H57" s="175" t="str">
        <f>VLOOKUP(I57,'Program Codes'!C:D,2,FALSE)</f>
        <v>08</v>
      </c>
      <c r="I57" s="175" t="s">
        <v>1007</v>
      </c>
      <c r="J57" s="175" t="s">
        <v>1064</v>
      </c>
      <c r="K57" s="175" t="s">
        <v>1065</v>
      </c>
      <c r="L57" s="175" t="s">
        <v>1509</v>
      </c>
      <c r="M57" s="188">
        <v>42552</v>
      </c>
      <c r="N57" s="182">
        <v>45473</v>
      </c>
      <c r="O57" s="183">
        <v>483.48</v>
      </c>
      <c r="P57" s="184">
        <v>0</v>
      </c>
      <c r="Q57" s="174">
        <f t="shared" si="3"/>
        <v>483.48</v>
      </c>
      <c r="R57" s="189">
        <v>43.014777643000002</v>
      </c>
      <c r="S57" s="190">
        <f>SUMIFS(MasterTable[Arrears + All Contractual Commitments (value next FY)],MasterTable[[Project Code and Name ]],PAProjects[[#This Row],[LINKING_CODE]],MasterTable[Funding Source],"GoU Funded")/10^9</f>
        <v>63.014777643000002</v>
      </c>
      <c r="T57" s="190">
        <f>SUMIFS(MasterTable[Arrears + All Contractual Commitments (value next FY)],MasterTable[[Project Code and Name ]],PAProjects[[#This Row],[LINKING_CODE]],MasterTable[Funding Source],"External Financing")/10^9</f>
        <v>0</v>
      </c>
      <c r="U57" s="191">
        <f>PAProjects[[#This Row],[GOU 21/22]]+PAProjects[[#This Row],[DONOR 21/22]]</f>
        <v>63.014777643000002</v>
      </c>
      <c r="V57" s="192">
        <f>SUMIFS(MasterTable[FY1 (FY22-23)],MasterTable[[Project Code and Name ]],PAProjects[[#This Row],[LINKING_CODE]],MasterTable[Funding Source],"GoU Funded")/10^9</f>
        <v>0</v>
      </c>
      <c r="W57" s="193">
        <f>SUMIFS(MasterTable[FY1 (FY22-23)],MasterTable[[Project Code and Name ]],PAProjects[[#This Row],[LINKING_CODE]],MasterTable[Funding Source],"External Financing")/10^9</f>
        <v>0</v>
      </c>
      <c r="X57" s="191">
        <f>PAProjects[[#This Row],[GOU 22/23]]+PAProjects[[#This Row],[DONOR 22/23]]</f>
        <v>0</v>
      </c>
      <c r="Y57" s="193">
        <f>SUMIFS(MasterTable[FY2 (FY23-24)],MasterTable[[Project Code and Name ]],PAProjects[[#This Row],[LINKING_CODE]],MasterTable[Funding Source],"GoU Funded")/10^9</f>
        <v>0</v>
      </c>
      <c r="Z57" s="193">
        <f>SUMIFS(MasterTable[FY2 (FY23-24)],MasterTable[[Project Code and Name ]],PAProjects[[#This Row],[LINKING_CODE]],MasterTable[Funding Source],"External Financing")/10^9</f>
        <v>0</v>
      </c>
      <c r="AA57" s="194">
        <f t="shared" si="4"/>
        <v>0</v>
      </c>
      <c r="AB57" s="193">
        <f>SUMIFS(MasterTable[FY3 (FY24-25)],MasterTable[[Project Code and Name ]],PAProjects[[#This Row],[LINKING_CODE]],MasterTable[Funding Source],"GoU Funded")/10^9</f>
        <v>0</v>
      </c>
      <c r="AC57" s="193">
        <f>SUMIFS(MasterTable[FY3 (FY24-25)],MasterTable[[Project Code and Name ]],PAProjects[[#This Row],[LINKING_CODE]],MasterTable[Funding Source],"External Financing")/10^9</f>
        <v>0</v>
      </c>
      <c r="AD57" s="191">
        <f>PAProjects[[#This Row],[GOU 24/25]]+PAProjects[[#This Row],[DONOR 24/25]]</f>
        <v>0</v>
      </c>
    </row>
    <row r="58" spans="1:30" ht="15" customHeight="1" x14ac:dyDescent="0.25">
      <c r="A58" s="180" t="s">
        <v>1927</v>
      </c>
      <c r="B58" s="175" t="s">
        <v>406</v>
      </c>
      <c r="C58" s="175" t="e">
        <f ca="1">PAProjects[[#This Row],[LINKING_CODE]]=_xlfn.CONCAT(PAProjects[[#This Row],[Project Code]]," ",PAProjects[[#This Row],[Project Name]])</f>
        <v>#NAME?</v>
      </c>
      <c r="D58" s="175" t="str">
        <f>VLOOKUP(PAProjects[[#This Row],[LINKING_CODE]],MasterTable[[Project Code and Name ]],1,FALSE)</f>
        <v>1404 Kibuye- Busega- Mpigi</v>
      </c>
      <c r="E58" s="175" t="s">
        <v>515</v>
      </c>
      <c r="F58" s="175" t="s">
        <v>944</v>
      </c>
      <c r="G58" s="175" t="s">
        <v>113</v>
      </c>
      <c r="H58" s="175" t="str">
        <f>VLOOKUP(I58,'Program Codes'!C:D,2,FALSE)</f>
        <v>08</v>
      </c>
      <c r="I58" s="175" t="s">
        <v>1007</v>
      </c>
      <c r="J58" s="175" t="s">
        <v>1066</v>
      </c>
      <c r="K58" s="175" t="s">
        <v>1067</v>
      </c>
      <c r="L58" s="175" t="s">
        <v>1509</v>
      </c>
      <c r="M58" s="188">
        <v>42552</v>
      </c>
      <c r="N58" s="182">
        <v>45107</v>
      </c>
      <c r="O58" s="183">
        <v>270</v>
      </c>
      <c r="P58" s="184">
        <v>1288.8</v>
      </c>
      <c r="Q58" s="174">
        <f t="shared" si="3"/>
        <v>1558.8</v>
      </c>
      <c r="R58" s="189">
        <v>0</v>
      </c>
      <c r="S58" s="190">
        <f>SUMIFS(MasterTable[Arrears + All Contractual Commitments (value next FY)],MasterTable[[Project Code and Name ]],PAProjects[[#This Row],[LINKING_CODE]],MasterTable[Funding Source],"GoU Funded")/10^9</f>
        <v>0.81108975000000005</v>
      </c>
      <c r="T58" s="190">
        <f>SUMIFS(MasterTable[Arrears + All Contractual Commitments (value next FY)],MasterTable[[Project Code and Name ]],PAProjects[[#This Row],[LINKING_CODE]],MasterTable[Funding Source],"External Financing")/10^9</f>
        <v>113.776</v>
      </c>
      <c r="U58" s="191">
        <f>PAProjects[[#This Row],[GOU 21/22]]+PAProjects[[#This Row],[DONOR 21/22]]</f>
        <v>114.58708974999999</v>
      </c>
      <c r="V58" s="192">
        <f>SUMIFS(MasterTable[FY1 (FY22-23)],MasterTable[[Project Code and Name ]],PAProjects[[#This Row],[LINKING_CODE]],MasterTable[Funding Source],"GoU Funded")/10^9</f>
        <v>0</v>
      </c>
      <c r="W58" s="193">
        <f>SUMIFS(MasterTable[FY1 (FY22-23)],MasterTable[[Project Code and Name ]],PAProjects[[#This Row],[LINKING_CODE]],MasterTable[Funding Source],"External Financing")/10^9</f>
        <v>284.44</v>
      </c>
      <c r="X58" s="191">
        <f>PAProjects[[#This Row],[GOU 22/23]]+PAProjects[[#This Row],[DONOR 22/23]]</f>
        <v>284.44</v>
      </c>
      <c r="Y58" s="193">
        <f>SUMIFS(MasterTable[FY2 (FY23-24)],MasterTable[[Project Code and Name ]],PAProjects[[#This Row],[LINKING_CODE]],MasterTable[Funding Source],"GoU Funded")/10^9</f>
        <v>0</v>
      </c>
      <c r="Z58" s="193">
        <f>SUMIFS(MasterTable[FY2 (FY23-24)],MasterTable[[Project Code and Name ]],PAProjects[[#This Row],[LINKING_CODE]],MasterTable[Funding Source],"External Financing")/10^9</f>
        <v>0</v>
      </c>
      <c r="AA58" s="175">
        <f t="shared" si="4"/>
        <v>0</v>
      </c>
      <c r="AB58" s="193">
        <f>SUMIFS(MasterTable[FY3 (FY24-25)],MasterTable[[Project Code and Name ]],PAProjects[[#This Row],[LINKING_CODE]],MasterTable[Funding Source],"GoU Funded")/10^9</f>
        <v>0</v>
      </c>
      <c r="AC58" s="193">
        <f>SUMIFS(MasterTable[FY3 (FY24-25)],MasterTable[[Project Code and Name ]],PAProjects[[#This Row],[LINKING_CODE]],MasterTable[Funding Source],"External Financing")/10^9</f>
        <v>0</v>
      </c>
      <c r="AD58" s="191">
        <f>PAProjects[[#This Row],[GOU 24/25]]+PAProjects[[#This Row],[DONOR 24/25]]</f>
        <v>0</v>
      </c>
    </row>
    <row r="59" spans="1:30" ht="15" customHeight="1" x14ac:dyDescent="0.25">
      <c r="A59" s="180" t="s">
        <v>631</v>
      </c>
      <c r="B59" s="175" t="s">
        <v>46</v>
      </c>
      <c r="C59" s="175" t="e">
        <f ca="1">PAProjects[[#This Row],[LINKING_CODE]]=_xlfn.CONCAT(PAProjects[[#This Row],[Project Code]]," ",PAProjects[[#This Row],[Project Name]])</f>
        <v>#NAME?</v>
      </c>
      <c r="D59" s="175" t="str">
        <f>VLOOKUP(PAProjects[[#This Row],[LINKING_CODE]],MasterTable[[Project Code and Name ]],1,FALSE)</f>
        <v>1409 Mirama - Kabale 132kv Transmission Project</v>
      </c>
      <c r="E59" s="175" t="s">
        <v>513</v>
      </c>
      <c r="F59" s="175" t="s">
        <v>1089</v>
      </c>
      <c r="G59" s="175" t="s">
        <v>66</v>
      </c>
      <c r="H59" s="175" t="str">
        <f>VLOOKUP(I59,'Program Codes'!C:D,2,FALSE)</f>
        <v>15</v>
      </c>
      <c r="I59" s="175" t="s">
        <v>1251</v>
      </c>
      <c r="J59" s="175" t="s">
        <v>1252</v>
      </c>
      <c r="K59" s="175" t="s">
        <v>568</v>
      </c>
      <c r="L59" s="175" t="s">
        <v>1509</v>
      </c>
      <c r="M59" s="182">
        <v>42552</v>
      </c>
      <c r="N59" s="182">
        <v>44742</v>
      </c>
      <c r="O59" s="198">
        <v>27.375</v>
      </c>
      <c r="P59" s="199">
        <v>209.375</v>
      </c>
      <c r="Q59" s="174">
        <f t="shared" si="3"/>
        <v>236.75</v>
      </c>
      <c r="R59" s="189">
        <v>0</v>
      </c>
      <c r="S59" s="190">
        <f>SUMIFS(MasterTable[Arrears + All Contractual Commitments (value next FY)],MasterTable[[Project Code and Name ]],PAProjects[[#This Row],[LINKING_CODE]],MasterTable[Funding Source],"GoU Funded")/10^9</f>
        <v>5.27</v>
      </c>
      <c r="T59" s="190">
        <f>SUMIFS(MasterTable[Arrears + All Contractual Commitments (value next FY)],MasterTable[[Project Code and Name ]],PAProjects[[#This Row],[LINKING_CODE]],MasterTable[Funding Source],"External Financing")/10^9</f>
        <v>15.39</v>
      </c>
      <c r="U59" s="191">
        <f>PAProjects[[#This Row],[GOU 21/22]]+PAProjects[[#This Row],[DONOR 21/22]]</f>
        <v>20.66</v>
      </c>
      <c r="V59" s="192">
        <f>SUMIFS(MasterTable[FY1 (FY22-23)],MasterTable[[Project Code and Name ]],PAProjects[[#This Row],[LINKING_CODE]],MasterTable[Funding Source],"GoU Funded")/10^9</f>
        <v>0</v>
      </c>
      <c r="W59" s="193">
        <f>SUMIFS(MasterTable[FY1 (FY22-23)],MasterTable[[Project Code and Name ]],PAProjects[[#This Row],[LINKING_CODE]],MasterTable[Funding Source],"External Financing")/10^9</f>
        <v>0</v>
      </c>
      <c r="X59" s="191">
        <f>PAProjects[[#This Row],[GOU 22/23]]+PAProjects[[#This Row],[DONOR 22/23]]</f>
        <v>0</v>
      </c>
      <c r="Y59" s="193">
        <f>SUMIFS(MasterTable[FY2 (FY23-24)],MasterTable[[Project Code and Name ]],PAProjects[[#This Row],[LINKING_CODE]],MasterTable[Funding Source],"GoU Funded")/10^9</f>
        <v>0</v>
      </c>
      <c r="Z59" s="193">
        <f>SUMIFS(MasterTable[FY2 (FY23-24)],MasterTable[[Project Code and Name ]],PAProjects[[#This Row],[LINKING_CODE]],MasterTable[Funding Source],"External Financing")/10^9</f>
        <v>0</v>
      </c>
      <c r="AA59" s="175">
        <f t="shared" si="4"/>
        <v>0</v>
      </c>
      <c r="AB59" s="193">
        <f>SUMIFS(MasterTable[FY3 (FY24-25)],MasterTable[[Project Code and Name ]],PAProjects[[#This Row],[LINKING_CODE]],MasterTable[Funding Source],"GoU Funded")/10^9</f>
        <v>0</v>
      </c>
      <c r="AC59" s="193">
        <f>SUMIFS(MasterTable[FY3 (FY24-25)],MasterTable[[Project Code and Name ]],PAProjects[[#This Row],[LINKING_CODE]],MasterTable[Funding Source],"External Financing")/10^9</f>
        <v>0</v>
      </c>
      <c r="AD59" s="191">
        <f>PAProjects[[#This Row],[GOU 24/25]]+PAProjects[[#This Row],[DONOR 24/25]]</f>
        <v>0</v>
      </c>
    </row>
    <row r="60" spans="1:30" ht="15" customHeight="1" x14ac:dyDescent="0.25">
      <c r="A60" s="180" t="s">
        <v>632</v>
      </c>
      <c r="B60" s="175" t="s">
        <v>57</v>
      </c>
      <c r="C60" s="175" t="e">
        <f ca="1">PAProjects[[#This Row],[LINKING_CODE]]=_xlfn.CONCAT(PAProjects[[#This Row],[Project Code]]," ",PAProjects[[#This Row],[Project Name]])</f>
        <v>#NAME?</v>
      </c>
      <c r="D60" s="175" t="str">
        <f>VLOOKUP(PAProjects[[#This Row],[LINKING_CODE]],MasterTable[[Project Code and Name ]],1,FALSE)</f>
        <v>1410 Skills for Oil and Gas Africa (SOGA)</v>
      </c>
      <c r="E60" s="175" t="s">
        <v>513</v>
      </c>
      <c r="F60" s="175" t="s">
        <v>1089</v>
      </c>
      <c r="G60" s="175" t="s">
        <v>66</v>
      </c>
      <c r="H60" s="175" t="str">
        <f>VLOOKUP(I60,'Program Codes'!C:D,2,FALSE)</f>
        <v>11</v>
      </c>
      <c r="I60" s="175" t="s">
        <v>1095</v>
      </c>
      <c r="J60" s="175" t="s">
        <v>1100</v>
      </c>
      <c r="K60" s="175" t="s">
        <v>1101</v>
      </c>
      <c r="L60" s="175" t="s">
        <v>1509</v>
      </c>
      <c r="M60" s="182">
        <v>42552</v>
      </c>
      <c r="N60" s="182">
        <v>44742</v>
      </c>
      <c r="O60" s="198">
        <v>8.6999999999999993</v>
      </c>
      <c r="P60" s="199">
        <v>41.3</v>
      </c>
      <c r="Q60" s="174">
        <f t="shared" si="3"/>
        <v>50</v>
      </c>
      <c r="R60" s="189">
        <v>0</v>
      </c>
      <c r="S60" s="190">
        <f>SUMIFS(MasterTable[Arrears + All Contractual Commitments (value next FY)],MasterTable[[Project Code and Name ]],PAProjects[[#This Row],[LINKING_CODE]],MasterTable[Funding Source],"GoU Funded")/10^9</f>
        <v>3.07</v>
      </c>
      <c r="T60" s="190">
        <f>SUMIFS(MasterTable[Arrears + All Contractual Commitments (value next FY)],MasterTable[[Project Code and Name ]],PAProjects[[#This Row],[LINKING_CODE]],MasterTable[Funding Source],"External Financing")/10^9</f>
        <v>0</v>
      </c>
      <c r="U60" s="191">
        <f>PAProjects[[#This Row],[GOU 21/22]]+PAProjects[[#This Row],[DONOR 21/22]]</f>
        <v>3.07</v>
      </c>
      <c r="V60" s="192">
        <f>SUMIFS(MasterTable[FY1 (FY22-23)],MasterTable[[Project Code and Name ]],PAProjects[[#This Row],[LINKING_CODE]],MasterTable[Funding Source],"GoU Funded")/10^9</f>
        <v>0</v>
      </c>
      <c r="W60" s="193">
        <f>SUMIFS(MasterTable[FY1 (FY22-23)],MasterTable[[Project Code and Name ]],PAProjects[[#This Row],[LINKING_CODE]],MasterTable[Funding Source],"External Financing")/10^9</f>
        <v>0</v>
      </c>
      <c r="X60" s="191">
        <f>PAProjects[[#This Row],[GOU 22/23]]+PAProjects[[#This Row],[DONOR 22/23]]</f>
        <v>0</v>
      </c>
      <c r="Y60" s="193">
        <f>SUMIFS(MasterTable[FY2 (FY23-24)],MasterTable[[Project Code and Name ]],PAProjects[[#This Row],[LINKING_CODE]],MasterTable[Funding Source],"GoU Funded")/10^9</f>
        <v>0</v>
      </c>
      <c r="Z60" s="193">
        <f>SUMIFS(MasterTable[FY2 (FY23-24)],MasterTable[[Project Code and Name ]],PAProjects[[#This Row],[LINKING_CODE]],MasterTable[Funding Source],"External Financing")/10^9</f>
        <v>0</v>
      </c>
      <c r="AA60" s="175">
        <f t="shared" si="4"/>
        <v>0</v>
      </c>
      <c r="AB60" s="193">
        <f>SUMIFS(MasterTable[FY3 (FY24-25)],MasterTable[[Project Code and Name ]],PAProjects[[#This Row],[LINKING_CODE]],MasterTable[Funding Source],"GoU Funded")/10^9</f>
        <v>0</v>
      </c>
      <c r="AC60" s="193">
        <f>SUMIFS(MasterTable[FY3 (FY24-25)],MasterTable[[Project Code and Name ]],PAProjects[[#This Row],[LINKING_CODE]],MasterTable[Funding Source],"External Financing")/10^9</f>
        <v>0</v>
      </c>
      <c r="AD60" s="191">
        <f>PAProjects[[#This Row],[GOU 24/25]]+PAProjects[[#This Row],[DONOR 24/25]]</f>
        <v>0</v>
      </c>
    </row>
    <row r="61" spans="1:30" ht="15" customHeight="1" x14ac:dyDescent="0.25">
      <c r="A61" s="180" t="s">
        <v>635</v>
      </c>
      <c r="B61" s="175" t="s">
        <v>468</v>
      </c>
      <c r="C61" s="175" t="e">
        <f ca="1">PAProjects[[#This Row],[LINKING_CODE]]=_xlfn.CONCAT(PAProjects[[#This Row],[Project Code]]," ",PAProjects[[#This Row],[Project Name]])</f>
        <v>#NAME?</v>
      </c>
      <c r="D61" s="175" t="str">
        <f>VLOOKUP(PAProjects[[#This Row],[LINKING_CODE]],MasterTable[[Project Code and Name ]],1,FALSE)</f>
        <v>1412 The Technical Vocational Education and Training (TVET-LEAD)</v>
      </c>
      <c r="E61" s="175" t="s">
        <v>519</v>
      </c>
      <c r="F61" s="175" t="s">
        <v>960</v>
      </c>
      <c r="G61" s="175" t="s">
        <v>961</v>
      </c>
      <c r="H61" s="175" t="str">
        <f>VLOOKUP(I61,'Program Codes'!C:D,2,FALSE)</f>
        <v>06</v>
      </c>
      <c r="I61" s="175" t="s">
        <v>962</v>
      </c>
      <c r="J61" s="175" t="s">
        <v>675</v>
      </c>
      <c r="K61" s="175" t="s">
        <v>967</v>
      </c>
      <c r="L61" s="175" t="s">
        <v>1509</v>
      </c>
      <c r="M61" s="182">
        <v>42552</v>
      </c>
      <c r="N61" s="182">
        <v>44742</v>
      </c>
      <c r="O61" s="183">
        <v>4.9180000000000001</v>
      </c>
      <c r="P61" s="184">
        <v>16.367999999999999</v>
      </c>
      <c r="Q61" s="174">
        <f t="shared" si="3"/>
        <v>21.285999999999998</v>
      </c>
      <c r="R61" s="189">
        <v>0</v>
      </c>
      <c r="S61" s="190">
        <f>SUMIFS(MasterTable[Arrears + All Contractual Commitments (value next FY)],MasterTable[[Project Code and Name ]],PAProjects[[#This Row],[LINKING_CODE]],MasterTable[Funding Source],"GoU Funded")/10^9</f>
        <v>0</v>
      </c>
      <c r="T61" s="190">
        <f>SUMIFS(MasterTable[Arrears + All Contractual Commitments (value next FY)],MasterTable[[Project Code and Name ]],PAProjects[[#This Row],[LINKING_CODE]],MasterTable[Funding Source],"External Financing")/10^9</f>
        <v>0</v>
      </c>
      <c r="U61" s="191">
        <f>PAProjects[[#This Row],[GOU 21/22]]+PAProjects[[#This Row],[DONOR 21/22]]</f>
        <v>0</v>
      </c>
      <c r="V61" s="192">
        <f>SUMIFS(MasterTable[FY1 (FY22-23)],MasterTable[[Project Code and Name ]],PAProjects[[#This Row],[LINKING_CODE]],MasterTable[Funding Source],"GoU Funded")/10^9</f>
        <v>0</v>
      </c>
      <c r="W61" s="193">
        <f>SUMIFS(MasterTable[FY1 (FY22-23)],MasterTable[[Project Code and Name ]],PAProjects[[#This Row],[LINKING_CODE]],MasterTable[Funding Source],"External Financing")/10^9</f>
        <v>0</v>
      </c>
      <c r="X61" s="191">
        <f>PAProjects[[#This Row],[GOU 22/23]]+PAProjects[[#This Row],[DONOR 22/23]]</f>
        <v>0</v>
      </c>
      <c r="Y61" s="193">
        <f>SUMIFS(MasterTable[FY2 (FY23-24)],MasterTable[[Project Code and Name ]],PAProjects[[#This Row],[LINKING_CODE]],MasterTable[Funding Source],"GoU Funded")/10^9</f>
        <v>0</v>
      </c>
      <c r="Z61" s="193">
        <f>SUMIFS(MasterTable[FY2 (FY23-24)],MasterTable[[Project Code and Name ]],PAProjects[[#This Row],[LINKING_CODE]],MasterTable[Funding Source],"External Financing")/10^9</f>
        <v>0</v>
      </c>
      <c r="AA61" s="175">
        <f t="shared" si="4"/>
        <v>0</v>
      </c>
      <c r="AB61" s="193">
        <f>SUMIFS(MasterTable[FY3 (FY24-25)],MasterTable[[Project Code and Name ]],PAProjects[[#This Row],[LINKING_CODE]],MasterTable[Funding Source],"GoU Funded")/10^9</f>
        <v>0</v>
      </c>
      <c r="AC61" s="193">
        <f>SUMIFS(MasterTable[FY3 (FY24-25)],MasterTable[[Project Code and Name ]],PAProjects[[#This Row],[LINKING_CODE]],MasterTable[Funding Source],"External Financing")/10^9</f>
        <v>0</v>
      </c>
      <c r="AD61" s="191">
        <f>PAProjects[[#This Row],[GOU 24/25]]+PAProjects[[#This Row],[DONOR 24/25]]</f>
        <v>0</v>
      </c>
    </row>
    <row r="62" spans="1:30" ht="15" customHeight="1" x14ac:dyDescent="0.25">
      <c r="A62" s="180" t="s">
        <v>636</v>
      </c>
      <c r="B62" s="203" t="s">
        <v>481</v>
      </c>
      <c r="C62" s="203" t="e">
        <f ca="1">PAProjects[[#This Row],[LINKING_CODE]]=_xlfn.CONCAT(PAProjects[[#This Row],[Project Code]]," ",PAProjects[[#This Row],[Project Name]])</f>
        <v>#NAME?</v>
      </c>
      <c r="D62" s="203" t="str">
        <f>VLOOKUP(PAProjects[[#This Row],[LINKING_CODE]],MasterTable[[Project Code and Name ]],1,FALSE)</f>
        <v>1419 Support to Soroti University Infrastructure Development</v>
      </c>
      <c r="E62" s="175" t="s">
        <v>519</v>
      </c>
      <c r="F62" s="175" t="s">
        <v>960</v>
      </c>
      <c r="G62" s="203" t="s">
        <v>308</v>
      </c>
      <c r="H62" s="203" t="str">
        <f>VLOOKUP(I62,'Program Codes'!C:D,2,FALSE)</f>
        <v>06</v>
      </c>
      <c r="I62" s="175" t="s">
        <v>962</v>
      </c>
      <c r="J62" s="203" t="s">
        <v>679</v>
      </c>
      <c r="K62" s="175" t="s">
        <v>680</v>
      </c>
      <c r="L62" s="175" t="s">
        <v>1509</v>
      </c>
      <c r="M62" s="182">
        <v>44013</v>
      </c>
      <c r="N62" s="182">
        <v>45838</v>
      </c>
      <c r="O62" s="174">
        <v>42.35</v>
      </c>
      <c r="P62" s="174"/>
      <c r="Q62" s="174">
        <f t="shared" si="3"/>
        <v>42.35</v>
      </c>
      <c r="R62" s="189">
        <v>0</v>
      </c>
      <c r="S62" s="190">
        <f>SUMIFS(MasterTable[Arrears + All Contractual Commitments (value next FY)],MasterTable[[Project Code and Name ]],PAProjects[[#This Row],[LINKING_CODE]],MasterTable[Funding Source],"GoU Funded")/10^9</f>
        <v>15</v>
      </c>
      <c r="T62" s="190">
        <f>SUMIFS(MasterTable[Arrears + All Contractual Commitments (value next FY)],MasterTable[[Project Code and Name ]],PAProjects[[#This Row],[LINKING_CODE]],MasterTable[Funding Source],"External Financing")/10^9</f>
        <v>0</v>
      </c>
      <c r="U62" s="202">
        <f>PAProjects[[#This Row],[GOU 21/22]]+PAProjects[[#This Row],[DONOR 21/22]]</f>
        <v>15</v>
      </c>
      <c r="V62" s="192">
        <f>SUMIFS(MasterTable[FY1 (FY22-23)],MasterTable[[Project Code and Name ]],PAProjects[[#This Row],[LINKING_CODE]],MasterTable[Funding Source],"GoU Funded")/10^9</f>
        <v>13.335000000000001</v>
      </c>
      <c r="W62" s="193">
        <f>SUMIFS(MasterTable[FY1 (FY22-23)],MasterTable[[Project Code and Name ]],PAProjects[[#This Row],[LINKING_CODE]],MasterTable[Funding Source],"External Financing")/10^9</f>
        <v>0</v>
      </c>
      <c r="X62" s="202">
        <f>PAProjects[[#This Row],[GOU 22/23]]+PAProjects[[#This Row],[DONOR 22/23]]</f>
        <v>13.335000000000001</v>
      </c>
      <c r="Y62" s="193">
        <f>SUMIFS(MasterTable[FY2 (FY23-24)],MasterTable[[Project Code and Name ]],PAProjects[[#This Row],[LINKING_CODE]],MasterTable[Funding Source],"GoU Funded")/10^9</f>
        <v>9</v>
      </c>
      <c r="Z62" s="193">
        <f>SUMIFS(MasterTable[FY2 (FY23-24)],MasterTable[[Project Code and Name ]],PAProjects[[#This Row],[LINKING_CODE]],MasterTable[Funding Source],"External Financing")/10^9</f>
        <v>0</v>
      </c>
      <c r="AA62" s="202">
        <f t="shared" si="4"/>
        <v>9</v>
      </c>
      <c r="AB62" s="193">
        <f>SUMIFS(MasterTable[FY3 (FY24-25)],MasterTable[[Project Code and Name ]],PAProjects[[#This Row],[LINKING_CODE]],MasterTable[Funding Source],"GoU Funded")/10^9</f>
        <v>0.91500000000000004</v>
      </c>
      <c r="AC62" s="193">
        <f>SUMIFS(MasterTable[FY3 (FY24-25)],MasterTable[[Project Code and Name ]],PAProjects[[#This Row],[LINKING_CODE]],MasterTable[Funding Source],"External Financing")/10^9</f>
        <v>0</v>
      </c>
      <c r="AD62" s="202">
        <f>PAProjects[[#This Row],[GOU 24/25]]+PAProjects[[#This Row],[DONOR 24/25]]</f>
        <v>0.91500000000000004</v>
      </c>
    </row>
    <row r="63" spans="1:30" ht="15" customHeight="1" x14ac:dyDescent="0.25">
      <c r="A63" s="180" t="s">
        <v>639</v>
      </c>
      <c r="B63" s="175" t="s">
        <v>439</v>
      </c>
      <c r="C63" s="175" t="e">
        <f ca="1">PAProjects[[#This Row],[LINKING_CODE]]=_xlfn.CONCAT(PAProjects[[#This Row],[Project Code]]," ",PAProjects[[#This Row],[Project Name]])</f>
        <v>#NAME?</v>
      </c>
      <c r="D63" s="175" t="str">
        <f>VLOOKUP(PAProjects[[#This Row],[LINKING_CODE]],MasterTable[[Project Code and Name ]],1,FALSE)</f>
        <v>1421 Development of the Construction Industry</v>
      </c>
      <c r="E63" s="175" t="s">
        <v>515</v>
      </c>
      <c r="F63" s="175" t="s">
        <v>944</v>
      </c>
      <c r="G63" s="175" t="s">
        <v>99</v>
      </c>
      <c r="H63" s="175" t="str">
        <f>VLOOKUP(I63,'Program Codes'!C:D,2,FALSE)</f>
        <v>08</v>
      </c>
      <c r="I63" s="175" t="s">
        <v>1007</v>
      </c>
      <c r="J63" s="175" t="s">
        <v>1012</v>
      </c>
      <c r="K63" s="175" t="s">
        <v>597</v>
      </c>
      <c r="L63" s="175" t="s">
        <v>1509</v>
      </c>
      <c r="M63" s="188">
        <v>42552</v>
      </c>
      <c r="N63" s="182">
        <v>44742</v>
      </c>
      <c r="O63" s="183">
        <v>63</v>
      </c>
      <c r="P63" s="174"/>
      <c r="Q63" s="174">
        <f t="shared" si="3"/>
        <v>63</v>
      </c>
      <c r="R63" s="189">
        <v>0</v>
      </c>
      <c r="S63" s="190">
        <f>SUMIFS(MasterTable[Arrears + All Contractual Commitments (value next FY)],MasterTable[[Project Code and Name ]],PAProjects[[#This Row],[LINKING_CODE]],MasterTable[Funding Source],"GoU Funded")/10^9</f>
        <v>10.74</v>
      </c>
      <c r="T63" s="190">
        <f>SUMIFS(MasterTable[Arrears + All Contractual Commitments (value next FY)],MasterTable[[Project Code and Name ]],PAProjects[[#This Row],[LINKING_CODE]],MasterTable[Funding Source],"External Financing")/10^9</f>
        <v>0</v>
      </c>
      <c r="U63" s="191">
        <f>PAProjects[[#This Row],[GOU 21/22]]+PAProjects[[#This Row],[DONOR 21/22]]</f>
        <v>10.74</v>
      </c>
      <c r="V63" s="192">
        <f>SUMIFS(MasterTable[FY1 (FY22-23)],MasterTable[[Project Code and Name ]],PAProjects[[#This Row],[LINKING_CODE]],MasterTable[Funding Source],"GoU Funded")/10^9</f>
        <v>12</v>
      </c>
      <c r="W63" s="193">
        <f>SUMIFS(MasterTable[FY1 (FY22-23)],MasterTable[[Project Code and Name ]],PAProjects[[#This Row],[LINKING_CODE]],MasterTable[Funding Source],"External Financing")/10^9</f>
        <v>0</v>
      </c>
      <c r="X63" s="191">
        <f>PAProjects[[#This Row],[GOU 22/23]]+PAProjects[[#This Row],[DONOR 22/23]]</f>
        <v>12</v>
      </c>
      <c r="Y63" s="193">
        <f>SUMIFS(MasterTable[FY2 (FY23-24)],MasterTable[[Project Code and Name ]],PAProjects[[#This Row],[LINKING_CODE]],MasterTable[Funding Source],"GoU Funded")/10^9</f>
        <v>0</v>
      </c>
      <c r="Z63" s="193">
        <f>SUMIFS(MasterTable[FY2 (FY23-24)],MasterTable[[Project Code and Name ]],PAProjects[[#This Row],[LINKING_CODE]],MasterTable[Funding Source],"External Financing")/10^9</f>
        <v>0</v>
      </c>
      <c r="AA63" s="175">
        <f t="shared" si="4"/>
        <v>0</v>
      </c>
      <c r="AB63" s="193">
        <f>SUMIFS(MasterTable[FY3 (FY24-25)],MasterTable[[Project Code and Name ]],PAProjects[[#This Row],[LINKING_CODE]],MasterTable[Funding Source],"GoU Funded")/10^9</f>
        <v>0</v>
      </c>
      <c r="AC63" s="193">
        <f>SUMIFS(MasterTable[FY3 (FY24-25)],MasterTable[[Project Code and Name ]],PAProjects[[#This Row],[LINKING_CODE]],MasterTable[Funding Source],"External Financing")/10^9</f>
        <v>0</v>
      </c>
      <c r="AD63" s="191">
        <f>PAProjects[[#This Row],[GOU 24/25]]+PAProjects[[#This Row],[DONOR 24/25]]</f>
        <v>0</v>
      </c>
    </row>
    <row r="64" spans="1:30" ht="15" customHeight="1" x14ac:dyDescent="0.25">
      <c r="A64" s="180" t="s">
        <v>640</v>
      </c>
      <c r="B64" s="175" t="s">
        <v>47</v>
      </c>
      <c r="C64" s="175" t="e">
        <f ca="1">PAProjects[[#This Row],[LINKING_CODE]]=_xlfn.CONCAT(PAProjects[[#This Row],[Project Code]]," ",PAProjects[[#This Row],[Project Name]])</f>
        <v>#NAME?</v>
      </c>
      <c r="D64" s="175" t="str">
        <f>VLOOKUP(PAProjects[[#This Row],[LINKING_CODE]],MasterTable[[Project Code and Name ]],1,FALSE)</f>
        <v>1426 Grid Expansion and Reinforcement Project -Lira, Gulu, Nebbi to Arua Transmission Line</v>
      </c>
      <c r="E64" s="175" t="s">
        <v>513</v>
      </c>
      <c r="F64" s="175" t="s">
        <v>1089</v>
      </c>
      <c r="G64" s="175" t="s">
        <v>66</v>
      </c>
      <c r="H64" s="175" t="str">
        <f>VLOOKUP(I64,'Program Codes'!C:D,2,FALSE)</f>
        <v>15</v>
      </c>
      <c r="I64" s="175" t="s">
        <v>1251</v>
      </c>
      <c r="J64" s="175" t="s">
        <v>1253</v>
      </c>
      <c r="K64" s="175" t="s">
        <v>569</v>
      </c>
      <c r="L64" s="175" t="s">
        <v>1509</v>
      </c>
      <c r="M64" s="182">
        <v>42552</v>
      </c>
      <c r="N64" s="182">
        <v>44742</v>
      </c>
      <c r="O64" s="198">
        <v>98.33</v>
      </c>
      <c r="P64" s="199">
        <v>360.18</v>
      </c>
      <c r="Q64" s="174">
        <f t="shared" si="3"/>
        <v>458.51</v>
      </c>
      <c r="R64" s="189">
        <v>0</v>
      </c>
      <c r="S64" s="190">
        <f>SUMIFS(MasterTable[Arrears + All Contractual Commitments (value next FY)],MasterTable[[Project Code and Name ]],PAProjects[[#This Row],[LINKING_CODE]],MasterTable[Funding Source],"GoU Funded")/10^9</f>
        <v>2.5</v>
      </c>
      <c r="T64" s="190">
        <f>SUMIFS(MasterTable[Arrears + All Contractual Commitments (value next FY)],MasterTable[[Project Code and Name ]],PAProjects[[#This Row],[LINKING_CODE]],MasterTable[Funding Source],"External Financing")/10^9</f>
        <v>15.39</v>
      </c>
      <c r="U64" s="191">
        <f>PAProjects[[#This Row],[GOU 21/22]]+PAProjects[[#This Row],[DONOR 21/22]]</f>
        <v>17.89</v>
      </c>
      <c r="V64" s="192">
        <f>SUMIFS(MasterTable[FY1 (FY22-23)],MasterTable[[Project Code and Name ]],PAProjects[[#This Row],[LINKING_CODE]],MasterTable[Funding Source],"GoU Funded")/10^9</f>
        <v>0</v>
      </c>
      <c r="W64" s="193">
        <f>SUMIFS(MasterTable[FY1 (FY22-23)],MasterTable[[Project Code and Name ]],PAProjects[[#This Row],[LINKING_CODE]],MasterTable[Funding Source],"External Financing")/10^9</f>
        <v>0</v>
      </c>
      <c r="X64" s="191">
        <f>PAProjects[[#This Row],[GOU 22/23]]+PAProjects[[#This Row],[DONOR 22/23]]</f>
        <v>0</v>
      </c>
      <c r="Y64" s="193">
        <f>SUMIFS(MasterTable[FY2 (FY23-24)],MasterTable[[Project Code and Name ]],PAProjects[[#This Row],[LINKING_CODE]],MasterTable[Funding Source],"GoU Funded")/10^9</f>
        <v>0</v>
      </c>
      <c r="Z64" s="193">
        <f>SUMIFS(MasterTable[FY2 (FY23-24)],MasterTable[[Project Code and Name ]],PAProjects[[#This Row],[LINKING_CODE]],MasterTable[Funding Source],"External Financing")/10^9</f>
        <v>0</v>
      </c>
      <c r="AA64" s="175">
        <f t="shared" si="4"/>
        <v>0</v>
      </c>
      <c r="AB64" s="193">
        <f>SUMIFS(MasterTable[FY3 (FY24-25)],MasterTable[[Project Code and Name ]],PAProjects[[#This Row],[LINKING_CODE]],MasterTable[Funding Source],"GoU Funded")/10^9</f>
        <v>0</v>
      </c>
      <c r="AC64" s="193">
        <f>SUMIFS(MasterTable[FY3 (FY24-25)],MasterTable[[Project Code and Name ]],PAProjects[[#This Row],[LINKING_CODE]],MasterTable[Funding Source],"External Financing")/10^9</f>
        <v>0</v>
      </c>
      <c r="AD64" s="191">
        <f>PAProjects[[#This Row],[GOU 24/25]]+PAProjects[[#This Row],[DONOR 24/25]]</f>
        <v>0</v>
      </c>
    </row>
    <row r="65" spans="1:30" ht="15" customHeight="1" x14ac:dyDescent="0.25">
      <c r="A65" s="180" t="s">
        <v>642</v>
      </c>
      <c r="B65" s="175" t="s">
        <v>48</v>
      </c>
      <c r="C65" s="175" t="e">
        <f ca="1">PAProjects[[#This Row],[LINKING_CODE]]=_xlfn.CONCAT(PAProjects[[#This Row],[Project Code]]," ",PAProjects[[#This Row],[Project Name]])</f>
        <v>#NAME?</v>
      </c>
      <c r="D65" s="175" t="str">
        <f>VLOOKUP(PAProjects[[#This Row],[LINKING_CODE]],MasterTable[[Project Code and Name ]],1,FALSE)</f>
        <v>1428 Energy for Rural Transformation (ERT) Phase III</v>
      </c>
      <c r="E65" s="175" t="s">
        <v>513</v>
      </c>
      <c r="F65" s="175" t="s">
        <v>1089</v>
      </c>
      <c r="G65" s="175" t="s">
        <v>66</v>
      </c>
      <c r="H65" s="175" t="str">
        <f>VLOOKUP(I65,'Program Codes'!C:D,2,FALSE)</f>
        <v>15</v>
      </c>
      <c r="I65" s="175" t="s">
        <v>1251</v>
      </c>
      <c r="J65" s="175" t="s">
        <v>1254</v>
      </c>
      <c r="K65" s="175" t="s">
        <v>565</v>
      </c>
      <c r="L65" s="175" t="s">
        <v>1509</v>
      </c>
      <c r="M65" s="182">
        <v>42917</v>
      </c>
      <c r="N65" s="182">
        <v>45107</v>
      </c>
      <c r="O65" s="198">
        <v>31.602</v>
      </c>
      <c r="P65" s="199">
        <v>486.75</v>
      </c>
      <c r="Q65" s="174">
        <f t="shared" si="3"/>
        <v>518.35199999999998</v>
      </c>
      <c r="R65" s="189">
        <v>0</v>
      </c>
      <c r="S65" s="190">
        <f>SUMIFS(MasterTable[Arrears + All Contractual Commitments (value next FY)],MasterTable[[Project Code and Name ]],PAProjects[[#This Row],[LINKING_CODE]],MasterTable[Funding Source],"GoU Funded")/10^9</f>
        <v>13.07</v>
      </c>
      <c r="T65" s="190">
        <f>SUMIFS(MasterTable[Arrears + All Contractual Commitments (value next FY)],MasterTable[[Project Code and Name ]],PAProjects[[#This Row],[LINKING_CODE]],MasterTable[Funding Source],"External Financing")/10^9</f>
        <v>55.49</v>
      </c>
      <c r="U65" s="191">
        <f>PAProjects[[#This Row],[GOU 21/22]]+PAProjects[[#This Row],[DONOR 21/22]]</f>
        <v>68.56</v>
      </c>
      <c r="V65" s="192">
        <f>SUMIFS(MasterTable[FY1 (FY22-23)],MasterTable[[Project Code and Name ]],PAProjects[[#This Row],[LINKING_CODE]],MasterTable[Funding Source],"GoU Funded")/10^9</f>
        <v>0</v>
      </c>
      <c r="W65" s="193">
        <f>SUMIFS(MasterTable[FY1 (FY22-23)],MasterTable[[Project Code and Name ]],PAProjects[[#This Row],[LINKING_CODE]],MasterTable[Funding Source],"External Financing")/10^9</f>
        <v>0</v>
      </c>
      <c r="X65" s="191">
        <f>PAProjects[[#This Row],[GOU 22/23]]+PAProjects[[#This Row],[DONOR 22/23]]</f>
        <v>0</v>
      </c>
      <c r="Y65" s="193">
        <f>SUMIFS(MasterTable[FY2 (FY23-24)],MasterTable[[Project Code and Name ]],PAProjects[[#This Row],[LINKING_CODE]],MasterTable[Funding Source],"GoU Funded")/10^9</f>
        <v>0</v>
      </c>
      <c r="Z65" s="193">
        <f>SUMIFS(MasterTable[FY2 (FY23-24)],MasterTable[[Project Code and Name ]],PAProjects[[#This Row],[LINKING_CODE]],MasterTable[Funding Source],"External Financing")/10^9</f>
        <v>0</v>
      </c>
      <c r="AA65" s="175">
        <f t="shared" si="4"/>
        <v>0</v>
      </c>
      <c r="AB65" s="193">
        <f>SUMIFS(MasterTable[FY3 (FY24-25)],MasterTable[[Project Code and Name ]],PAProjects[[#This Row],[LINKING_CODE]],MasterTable[Funding Source],"GoU Funded")/10^9</f>
        <v>0</v>
      </c>
      <c r="AC65" s="193">
        <f>SUMIFS(MasterTable[FY3 (FY24-25)],MasterTable[[Project Code and Name ]],PAProjects[[#This Row],[LINKING_CODE]],MasterTable[Funding Source],"External Financing")/10^9</f>
        <v>0</v>
      </c>
      <c r="AD65" s="191">
        <f>PAProjects[[#This Row],[GOU 24/25]]+PAProjects[[#This Row],[DONOR 24/25]]</f>
        <v>0</v>
      </c>
    </row>
    <row r="66" spans="1:30" ht="15" customHeight="1" x14ac:dyDescent="0.25">
      <c r="A66" s="180" t="s">
        <v>644</v>
      </c>
      <c r="B66" s="175" t="s">
        <v>1294</v>
      </c>
      <c r="C66" s="175" t="e">
        <f ca="1">PAProjects[[#This Row],[LINKING_CODE]]=_xlfn.CONCAT(PAProjects[[#This Row],[Project Code]]," ",PAProjects[[#This Row],[Project Name]])</f>
        <v>#NAME?</v>
      </c>
      <c r="D66" s="175" t="str">
        <f>VLOOKUP(PAProjects[[#This Row],[LINKING_CODE]],MasterTable[[Project Code and Name ]],1,FALSE)</f>
        <v>1428 Energy for Rural Transformation (ERT) Phase III -REA</v>
      </c>
      <c r="E66" s="175" t="s">
        <v>513</v>
      </c>
      <c r="F66" s="175" t="s">
        <v>1089</v>
      </c>
      <c r="G66" s="175" t="s">
        <v>123</v>
      </c>
      <c r="H66" s="175" t="str">
        <f>VLOOKUP(I66,'Program Codes'!C:D,2,FALSE)</f>
        <v>15</v>
      </c>
      <c r="I66" s="175" t="s">
        <v>1251</v>
      </c>
      <c r="J66" s="175" t="s">
        <v>1254</v>
      </c>
      <c r="K66" s="181" t="s">
        <v>565</v>
      </c>
      <c r="L66" s="175" t="s">
        <v>1509</v>
      </c>
      <c r="M66" s="182">
        <v>42917</v>
      </c>
      <c r="N66" s="182">
        <v>44742</v>
      </c>
      <c r="O66" s="198">
        <v>31.602</v>
      </c>
      <c r="P66" s="199">
        <v>486.75</v>
      </c>
      <c r="Q66" s="174">
        <f t="shared" si="3"/>
        <v>518.35199999999998</v>
      </c>
      <c r="R66" s="189">
        <v>0</v>
      </c>
      <c r="S66" s="190">
        <f>SUMIFS(MasterTable[Arrears + All Contractual Commitments (value next FY)],MasterTable[[Project Code and Name ]],PAProjects[[#This Row],[LINKING_CODE]],MasterTable[Funding Source],"GoU Funded")/10^9</f>
        <v>0</v>
      </c>
      <c r="T66" s="190">
        <f>SUMIFS(MasterTable[Arrears + All Contractual Commitments (value next FY)],MasterTable[[Project Code and Name ]],PAProjects[[#This Row],[LINKING_CODE]],MasterTable[Funding Source],"External Financing")/10^9</f>
        <v>55.762999999999998</v>
      </c>
      <c r="U66" s="191">
        <f>PAProjects[[#This Row],[GOU 21/22]]+PAProjects[[#This Row],[DONOR 21/22]]</f>
        <v>55.762999999999998</v>
      </c>
      <c r="V66" s="192">
        <f>SUMIFS(MasterTable[FY1 (FY22-23)],MasterTable[[Project Code and Name ]],PAProjects[[#This Row],[LINKING_CODE]],MasterTable[Funding Source],"GoU Funded")/10^9</f>
        <v>0</v>
      </c>
      <c r="W66" s="193">
        <f>SUMIFS(MasterTable[FY1 (FY22-23)],MasterTable[[Project Code and Name ]],PAProjects[[#This Row],[LINKING_CODE]],MasterTable[Funding Source],"External Financing")/10^9</f>
        <v>0</v>
      </c>
      <c r="X66" s="191">
        <f>PAProjects[[#This Row],[GOU 22/23]]+PAProjects[[#This Row],[DONOR 22/23]]</f>
        <v>0</v>
      </c>
      <c r="Y66" s="193">
        <f>SUMIFS(MasterTable[FY2 (FY23-24)],MasterTable[[Project Code and Name ]],PAProjects[[#This Row],[LINKING_CODE]],MasterTable[Funding Source],"GoU Funded")/10^9</f>
        <v>0</v>
      </c>
      <c r="Z66" s="193">
        <f>SUMIFS(MasterTable[FY2 (FY23-24)],MasterTable[[Project Code and Name ]],PAProjects[[#This Row],[LINKING_CODE]],MasterTable[Funding Source],"External Financing")/10^9</f>
        <v>0</v>
      </c>
      <c r="AA66" s="175">
        <f t="shared" si="4"/>
        <v>0</v>
      </c>
      <c r="AB66" s="193">
        <f>SUMIFS(MasterTable[FY3 (FY24-25)],MasterTable[[Project Code and Name ]],PAProjects[[#This Row],[LINKING_CODE]],MasterTable[Funding Source],"GoU Funded")/10^9</f>
        <v>0</v>
      </c>
      <c r="AC66" s="193">
        <f>SUMIFS(MasterTable[FY3 (FY24-25)],MasterTable[[Project Code and Name ]],PAProjects[[#This Row],[LINKING_CODE]],MasterTable[Funding Source],"External Financing")/10^9</f>
        <v>0</v>
      </c>
      <c r="AD66" s="191">
        <f>PAProjects[[#This Row],[GOU 24/25]]+PAProjects[[#This Row],[DONOR 24/25]]</f>
        <v>0</v>
      </c>
    </row>
    <row r="67" spans="1:30" ht="15" customHeight="1" x14ac:dyDescent="0.25">
      <c r="A67" s="180" t="s">
        <v>646</v>
      </c>
      <c r="B67" s="175" t="s">
        <v>49</v>
      </c>
      <c r="C67" s="175" t="e">
        <f ca="1">PAProjects[[#This Row],[LINKING_CODE]]=_xlfn.CONCAT(PAProjects[[#This Row],[Project Code]]," ",PAProjects[[#This Row],[Project Name]])</f>
        <v>#NAME?</v>
      </c>
      <c r="D67" s="175" t="str">
        <f>VLOOKUP(PAProjects[[#This Row],[LINKING_CODE]],MasterTable[[Project Code and Name ]],1,FALSE)</f>
        <v xml:space="preserve">1429 ORIO Mini Hydro Power and Rural Electrification Project </v>
      </c>
      <c r="E67" s="175" t="s">
        <v>513</v>
      </c>
      <c r="F67" s="175" t="s">
        <v>1089</v>
      </c>
      <c r="G67" s="175" t="s">
        <v>66</v>
      </c>
      <c r="H67" s="175" t="str">
        <f>VLOOKUP(I67,'Program Codes'!C:D,2,FALSE)</f>
        <v>15</v>
      </c>
      <c r="I67" s="175" t="s">
        <v>1251</v>
      </c>
      <c r="J67" s="175" t="s">
        <v>1255</v>
      </c>
      <c r="K67" s="175" t="s">
        <v>1256</v>
      </c>
      <c r="L67" s="175" t="s">
        <v>1509</v>
      </c>
      <c r="M67" s="182">
        <v>42917</v>
      </c>
      <c r="N67" s="182">
        <v>44742</v>
      </c>
      <c r="O67" s="198">
        <v>153</v>
      </c>
      <c r="P67" s="174"/>
      <c r="Q67" s="174">
        <f t="shared" si="3"/>
        <v>153</v>
      </c>
      <c r="R67" s="189">
        <v>0</v>
      </c>
      <c r="S67" s="190">
        <f>SUMIFS(MasterTable[Arrears + All Contractual Commitments (value next FY)],MasterTable[[Project Code and Name ]],PAProjects[[#This Row],[LINKING_CODE]],MasterTable[Funding Source],"GoU Funded")/10^9</f>
        <v>8</v>
      </c>
      <c r="T67" s="190">
        <f>SUMIFS(MasterTable[Arrears + All Contractual Commitments (value next FY)],MasterTable[[Project Code and Name ]],PAProjects[[#This Row],[LINKING_CODE]],MasterTable[Funding Source],"External Financing")/10^9</f>
        <v>0</v>
      </c>
      <c r="U67" s="191">
        <f>PAProjects[[#This Row],[GOU 21/22]]+PAProjects[[#This Row],[DONOR 21/22]]</f>
        <v>8</v>
      </c>
      <c r="V67" s="192">
        <f>SUMIFS(MasterTable[FY1 (FY22-23)],MasterTable[[Project Code and Name ]],PAProjects[[#This Row],[LINKING_CODE]],MasterTable[Funding Source],"GoU Funded")/10^9</f>
        <v>0</v>
      </c>
      <c r="W67" s="193">
        <f>SUMIFS(MasterTable[FY1 (FY22-23)],MasterTable[[Project Code and Name ]],PAProjects[[#This Row],[LINKING_CODE]],MasterTable[Funding Source],"External Financing")/10^9</f>
        <v>0</v>
      </c>
      <c r="X67" s="191">
        <f>PAProjects[[#This Row],[GOU 22/23]]+PAProjects[[#This Row],[DONOR 22/23]]</f>
        <v>0</v>
      </c>
      <c r="Y67" s="193">
        <f>SUMIFS(MasterTable[FY2 (FY23-24)],MasterTable[[Project Code and Name ]],PAProjects[[#This Row],[LINKING_CODE]],MasterTable[Funding Source],"GoU Funded")/10^9</f>
        <v>0</v>
      </c>
      <c r="Z67" s="193">
        <f>SUMIFS(MasterTable[FY2 (FY23-24)],MasterTable[[Project Code and Name ]],PAProjects[[#This Row],[LINKING_CODE]],MasterTable[Funding Source],"External Financing")/10^9</f>
        <v>0</v>
      </c>
      <c r="AA67" s="175">
        <f t="shared" si="4"/>
        <v>0</v>
      </c>
      <c r="AB67" s="193">
        <f>SUMIFS(MasterTable[FY3 (FY24-25)],MasterTable[[Project Code and Name ]],PAProjects[[#This Row],[LINKING_CODE]],MasterTable[Funding Source],"GoU Funded")/10^9</f>
        <v>0</v>
      </c>
      <c r="AC67" s="193">
        <f>SUMIFS(MasterTable[FY3 (FY24-25)],MasterTable[[Project Code and Name ]],PAProjects[[#This Row],[LINKING_CODE]],MasterTable[Funding Source],"External Financing")/10^9</f>
        <v>0</v>
      </c>
      <c r="AD67" s="191">
        <f>PAProjects[[#This Row],[GOU 24/25]]+PAProjects[[#This Row],[DONOR 24/25]]</f>
        <v>0</v>
      </c>
    </row>
    <row r="68" spans="1:30" ht="15" customHeight="1" x14ac:dyDescent="0.25">
      <c r="A68" s="180" t="s">
        <v>648</v>
      </c>
      <c r="B68" s="175" t="s">
        <v>467</v>
      </c>
      <c r="C68" s="175" t="e">
        <f ca="1">PAProjects[[#This Row],[LINKING_CODE]]=_xlfn.CONCAT(PAProjects[[#This Row],[Project Code]]," ",PAProjects[[#This Row],[Project Name]])</f>
        <v>#NAME?</v>
      </c>
      <c r="D68" s="175" t="str">
        <f>VLOOKUP(PAProjects[[#This Row],[LINKING_CODE]],MasterTable[[Project Code and Name ]],1,FALSE)</f>
        <v>1432 OFID Funded Vocational Project Phase II</v>
      </c>
      <c r="E68" s="175" t="s">
        <v>519</v>
      </c>
      <c r="F68" s="175" t="s">
        <v>960</v>
      </c>
      <c r="G68" s="175" t="s">
        <v>961</v>
      </c>
      <c r="H68" s="175" t="str">
        <f>VLOOKUP(I68,'Program Codes'!C:D,2,FALSE)</f>
        <v>06</v>
      </c>
      <c r="I68" s="175" t="s">
        <v>962</v>
      </c>
      <c r="J68" s="175" t="s">
        <v>681</v>
      </c>
      <c r="K68" s="175" t="s">
        <v>968</v>
      </c>
      <c r="L68" s="175" t="s">
        <v>1509</v>
      </c>
      <c r="M68" s="182">
        <v>42917</v>
      </c>
      <c r="N68" s="182">
        <v>44742</v>
      </c>
      <c r="O68" s="183">
        <v>7.593</v>
      </c>
      <c r="P68" s="184">
        <v>54.366</v>
      </c>
      <c r="Q68" s="174">
        <f t="shared" si="3"/>
        <v>61.959000000000003</v>
      </c>
      <c r="R68" s="189">
        <v>0</v>
      </c>
      <c r="S68" s="190">
        <f>SUMIFS(MasterTable[Arrears + All Contractual Commitments (value next FY)],MasterTable[[Project Code and Name ]],PAProjects[[#This Row],[LINKING_CODE]],MasterTable[Funding Source],"GoU Funded")/10^9</f>
        <v>0</v>
      </c>
      <c r="T68" s="190">
        <f>SUMIFS(MasterTable[Arrears + All Contractual Commitments (value next FY)],MasterTable[[Project Code and Name ]],PAProjects[[#This Row],[LINKING_CODE]],MasterTable[Funding Source],"External Financing")/10^9</f>
        <v>58.06</v>
      </c>
      <c r="U68" s="191">
        <f>PAProjects[[#This Row],[GOU 21/22]]+PAProjects[[#This Row],[DONOR 21/22]]</f>
        <v>58.06</v>
      </c>
      <c r="V68" s="192">
        <f>SUMIFS(MasterTable[FY1 (FY22-23)],MasterTable[[Project Code and Name ]],PAProjects[[#This Row],[LINKING_CODE]],MasterTable[Funding Source],"GoU Funded")/10^9</f>
        <v>0</v>
      </c>
      <c r="W68" s="193">
        <f>SUMIFS(MasterTable[FY1 (FY22-23)],MasterTable[[Project Code and Name ]],PAProjects[[#This Row],[LINKING_CODE]],MasterTable[Funding Source],"External Financing")/10^9</f>
        <v>0</v>
      </c>
      <c r="X68" s="191">
        <f>PAProjects[[#This Row],[GOU 22/23]]+PAProjects[[#This Row],[DONOR 22/23]]</f>
        <v>0</v>
      </c>
      <c r="Y68" s="193">
        <f>SUMIFS(MasterTable[FY2 (FY23-24)],MasterTable[[Project Code and Name ]],PAProjects[[#This Row],[LINKING_CODE]],MasterTable[Funding Source],"GoU Funded")/10^9</f>
        <v>0</v>
      </c>
      <c r="Z68" s="193">
        <f>SUMIFS(MasterTable[FY2 (FY23-24)],MasterTable[[Project Code and Name ]],PAProjects[[#This Row],[LINKING_CODE]],MasterTable[Funding Source],"External Financing")/10^9</f>
        <v>0</v>
      </c>
      <c r="AA68" s="175">
        <f t="shared" si="4"/>
        <v>0</v>
      </c>
      <c r="AB68" s="193">
        <f>SUMIFS(MasterTable[FY3 (FY24-25)],MasterTable[[Project Code and Name ]],PAProjects[[#This Row],[LINKING_CODE]],MasterTable[Funding Source],"GoU Funded")/10^9</f>
        <v>0</v>
      </c>
      <c r="AC68" s="193">
        <f>SUMIFS(MasterTable[FY3 (FY24-25)],MasterTable[[Project Code and Name ]],PAProjects[[#This Row],[LINKING_CODE]],MasterTable[Funding Source],"External Financing")/10^9</f>
        <v>0</v>
      </c>
      <c r="AD68" s="191">
        <f>PAProjects[[#This Row],[GOU 24/25]]+PAProjects[[#This Row],[DONOR 24/25]]</f>
        <v>0</v>
      </c>
    </row>
    <row r="69" spans="1:30" ht="15" customHeight="1" x14ac:dyDescent="0.25">
      <c r="A69" s="180" t="s">
        <v>649</v>
      </c>
      <c r="B69" s="175" t="s">
        <v>79</v>
      </c>
      <c r="C69" s="175" t="e">
        <f ca="1">PAProjects[[#This Row],[LINKING_CODE]]=_xlfn.CONCAT(PAProjects[[#This Row],[Project Code]]," ",PAProjects[[#This Row],[Project Name]])</f>
        <v>#NAME?</v>
      </c>
      <c r="D69" s="175" t="str">
        <f>VLOOKUP(PAProjects[[#This Row],[LINKING_CODE]],MasterTable[[Project Code and Name ]],1,FALSE)</f>
        <v>1436 GAVI Vaccines and Health Sector Development Plan Support</v>
      </c>
      <c r="E69" s="175" t="s">
        <v>520</v>
      </c>
      <c r="F69" s="175" t="s">
        <v>975</v>
      </c>
      <c r="G69" s="175" t="s">
        <v>97</v>
      </c>
      <c r="H69" s="175" t="str">
        <f>VLOOKUP(I69,'Program Codes'!C:D,2,FALSE)</f>
        <v>06</v>
      </c>
      <c r="I69" s="175" t="s">
        <v>962</v>
      </c>
      <c r="J69" s="175" t="s">
        <v>707</v>
      </c>
      <c r="K69" s="175" t="s">
        <v>708</v>
      </c>
      <c r="L69" s="175" t="s">
        <v>1509</v>
      </c>
      <c r="M69" s="182">
        <v>42917</v>
      </c>
      <c r="N69" s="182">
        <v>44742</v>
      </c>
      <c r="O69" s="183">
        <v>103.70399999999999</v>
      </c>
      <c r="P69" s="184">
        <v>441.18900000000002</v>
      </c>
      <c r="Q69" s="174">
        <f t="shared" si="3"/>
        <v>544.89300000000003</v>
      </c>
      <c r="R69" s="189">
        <v>0</v>
      </c>
      <c r="S69" s="190">
        <f>SUMIFS(MasterTable[Arrears + All Contractual Commitments (value next FY)],MasterTable[[Project Code and Name ]],PAProjects[[#This Row],[LINKING_CODE]],MasterTable[Funding Source],"GoU Funded")/10^9</f>
        <v>16</v>
      </c>
      <c r="T69" s="190">
        <f>SUMIFS(MasterTable[Arrears + All Contractual Commitments (value next FY)],MasterTable[[Project Code and Name ]],PAProjects[[#This Row],[LINKING_CODE]],MasterTable[Funding Source],"External Financing")/10^9</f>
        <v>36.729999999999997</v>
      </c>
      <c r="U69" s="191">
        <f>PAProjects[[#This Row],[GOU 21/22]]+PAProjects[[#This Row],[DONOR 21/22]]</f>
        <v>52.73</v>
      </c>
      <c r="V69" s="192">
        <f>SUMIFS(MasterTable[FY1 (FY22-23)],MasterTable[[Project Code and Name ]],PAProjects[[#This Row],[LINKING_CODE]],MasterTable[Funding Source],"GoU Funded")/10^9</f>
        <v>0</v>
      </c>
      <c r="W69" s="193">
        <f>SUMIFS(MasterTable[FY1 (FY22-23)],MasterTable[[Project Code and Name ]],PAProjects[[#This Row],[LINKING_CODE]],MasterTable[Funding Source],"External Financing")/10^9</f>
        <v>0</v>
      </c>
      <c r="X69" s="191">
        <f>PAProjects[[#This Row],[GOU 22/23]]+PAProjects[[#This Row],[DONOR 22/23]]</f>
        <v>0</v>
      </c>
      <c r="Y69" s="193">
        <f>SUMIFS(MasterTable[FY2 (FY23-24)],MasterTable[[Project Code and Name ]],PAProjects[[#This Row],[LINKING_CODE]],MasterTable[Funding Source],"GoU Funded")/10^9</f>
        <v>0</v>
      </c>
      <c r="Z69" s="193">
        <f>SUMIFS(MasterTable[FY2 (FY23-24)],MasterTable[[Project Code and Name ]],PAProjects[[#This Row],[LINKING_CODE]],MasterTable[Funding Source],"External Financing")/10^9</f>
        <v>0</v>
      </c>
      <c r="AA69" s="175">
        <f t="shared" si="4"/>
        <v>0</v>
      </c>
      <c r="AB69" s="193">
        <f>SUMIFS(MasterTable[FY3 (FY24-25)],MasterTable[[Project Code and Name ]],PAProjects[[#This Row],[LINKING_CODE]],MasterTable[Funding Source],"GoU Funded")/10^9</f>
        <v>0</v>
      </c>
      <c r="AC69" s="193">
        <f>SUMIFS(MasterTable[FY3 (FY24-25)],MasterTable[[Project Code and Name ]],PAProjects[[#This Row],[LINKING_CODE]],MasterTable[Funding Source],"External Financing")/10^9</f>
        <v>0</v>
      </c>
      <c r="AD69" s="191">
        <f>PAProjects[[#This Row],[GOU 24/25]]+PAProjects[[#This Row],[DONOR 24/25]]</f>
        <v>0</v>
      </c>
    </row>
    <row r="70" spans="1:30" ht="15" customHeight="1" x14ac:dyDescent="0.25">
      <c r="A70" s="180" t="s">
        <v>651</v>
      </c>
      <c r="B70" s="175" t="s">
        <v>82</v>
      </c>
      <c r="C70" s="175" t="e">
        <f ca="1">PAProjects[[#This Row],[LINKING_CODE]]=_xlfn.CONCAT(PAProjects[[#This Row],[Project Code]]," ",PAProjects[[#This Row],[Project Name]])</f>
        <v>#NAME?</v>
      </c>
      <c r="D70" s="175" t="str">
        <f>VLOOKUP(PAProjects[[#This Row],[LINKING_CODE]],MasterTable[[Project Code and Name ]],1,FALSE)</f>
        <v>1440 Uganda Reproductive Maternal and Child Health Services Improvement Project</v>
      </c>
      <c r="E70" s="175" t="s">
        <v>520</v>
      </c>
      <c r="F70" s="175" t="s">
        <v>975</v>
      </c>
      <c r="G70" s="175" t="s">
        <v>97</v>
      </c>
      <c r="H70" s="175" t="str">
        <f>VLOOKUP(I70,'Program Codes'!C:D,2,FALSE)</f>
        <v>06</v>
      </c>
      <c r="I70" s="175" t="s">
        <v>962</v>
      </c>
      <c r="J70" s="175" t="s">
        <v>709</v>
      </c>
      <c r="K70" s="175" t="s">
        <v>976</v>
      </c>
      <c r="L70" s="175" t="s">
        <v>1509</v>
      </c>
      <c r="M70" s="182">
        <v>42917</v>
      </c>
      <c r="N70" s="182">
        <v>44742</v>
      </c>
      <c r="O70" s="183">
        <v>0.05</v>
      </c>
      <c r="P70" s="184">
        <v>475.99</v>
      </c>
      <c r="Q70" s="174">
        <f t="shared" ref="Q70:Q101" si="5">SUM(O70:P70)</f>
        <v>476.04</v>
      </c>
      <c r="R70" s="189">
        <v>0</v>
      </c>
      <c r="S70" s="190">
        <f>SUMIFS(MasterTable[Arrears + All Contractual Commitments (value next FY)],MasterTable[[Project Code and Name ]],PAProjects[[#This Row],[LINKING_CODE]],MasterTable[Funding Source],"GoU Funded")/10^9</f>
        <v>0.2</v>
      </c>
      <c r="T70" s="190">
        <f>SUMIFS(MasterTable[Arrears + All Contractual Commitments (value next FY)],MasterTable[[Project Code and Name ]],PAProjects[[#This Row],[LINKING_CODE]],MasterTable[Funding Source],"External Financing")/10^9</f>
        <v>242.97066760000001</v>
      </c>
      <c r="U70" s="191">
        <f>PAProjects[[#This Row],[GOU 21/22]]+PAProjects[[#This Row],[DONOR 21/22]]</f>
        <v>243.1706676</v>
      </c>
      <c r="V70" s="192">
        <f>SUMIFS(MasterTable[FY1 (FY22-23)],MasterTable[[Project Code and Name ]],PAProjects[[#This Row],[LINKING_CODE]],MasterTable[Funding Source],"GoU Funded")/10^9</f>
        <v>0</v>
      </c>
      <c r="W70" s="193">
        <f>SUMIFS(MasterTable[FY1 (FY22-23)],MasterTable[[Project Code and Name ]],PAProjects[[#This Row],[LINKING_CODE]],MasterTable[Funding Source],"External Financing")/10^9</f>
        <v>0</v>
      </c>
      <c r="X70" s="191">
        <f>PAProjects[[#This Row],[GOU 22/23]]+PAProjects[[#This Row],[DONOR 22/23]]</f>
        <v>0</v>
      </c>
      <c r="Y70" s="193">
        <f>SUMIFS(MasterTable[FY2 (FY23-24)],MasterTable[[Project Code and Name ]],PAProjects[[#This Row],[LINKING_CODE]],MasterTable[Funding Source],"GoU Funded")/10^9</f>
        <v>0</v>
      </c>
      <c r="Z70" s="193">
        <f>SUMIFS(MasterTable[FY2 (FY23-24)],MasterTable[[Project Code and Name ]],PAProjects[[#This Row],[LINKING_CODE]],MasterTable[Funding Source],"External Financing")/10^9</f>
        <v>0</v>
      </c>
      <c r="AA70" s="175">
        <f t="shared" si="4"/>
        <v>0</v>
      </c>
      <c r="AB70" s="193">
        <f>SUMIFS(MasterTable[FY3 (FY24-25)],MasterTable[[Project Code and Name ]],PAProjects[[#This Row],[LINKING_CODE]],MasterTable[Funding Source],"GoU Funded")/10^9</f>
        <v>0</v>
      </c>
      <c r="AC70" s="193">
        <f>SUMIFS(MasterTable[FY3 (FY24-25)],MasterTable[[Project Code and Name ]],PAProjects[[#This Row],[LINKING_CODE]],MasterTable[Funding Source],"External Financing")/10^9</f>
        <v>0</v>
      </c>
      <c r="AD70" s="191">
        <f>PAProjects[[#This Row],[GOU 24/25]]+PAProjects[[#This Row],[DONOR 24/25]]</f>
        <v>0</v>
      </c>
    </row>
    <row r="71" spans="1:30" ht="15" customHeight="1" x14ac:dyDescent="0.25">
      <c r="A71" s="180" t="s">
        <v>653</v>
      </c>
      <c r="B71" s="175" t="s">
        <v>431</v>
      </c>
      <c r="C71" s="175" t="e">
        <f ca="1">PAProjects[[#This Row],[LINKING_CODE]]=_xlfn.CONCAT(PAProjects[[#This Row],[Project Code]]," ",PAProjects[[#This Row],[Project Name]])</f>
        <v>#NAME?</v>
      </c>
      <c r="D71" s="175" t="str">
        <f>VLOOKUP(PAProjects[[#This Row],[LINKING_CODE]],MasterTable[[Project Code and Name ]],1,FALSE)</f>
        <v>1456 Multinational Lake Victoria Maritime Comm. &amp;Transport Project</v>
      </c>
      <c r="E71" s="175" t="s">
        <v>515</v>
      </c>
      <c r="F71" s="175" t="s">
        <v>944</v>
      </c>
      <c r="G71" s="175" t="s">
        <v>99</v>
      </c>
      <c r="H71" s="175" t="str">
        <f>VLOOKUP(I71,'Program Codes'!C:D,2,FALSE)</f>
        <v>14</v>
      </c>
      <c r="I71" s="175" t="s">
        <v>1238</v>
      </c>
      <c r="J71" s="175" t="s">
        <v>1239</v>
      </c>
      <c r="K71" s="175" t="s">
        <v>1240</v>
      </c>
      <c r="L71" s="175" t="s">
        <v>1509</v>
      </c>
      <c r="M71" s="188">
        <v>42917</v>
      </c>
      <c r="N71" s="182">
        <v>44742</v>
      </c>
      <c r="O71" s="183">
        <v>8.14</v>
      </c>
      <c r="P71" s="184">
        <v>53.28</v>
      </c>
      <c r="Q71" s="174">
        <f t="shared" si="5"/>
        <v>61.42</v>
      </c>
      <c r="R71" s="189">
        <v>0</v>
      </c>
      <c r="S71" s="190">
        <f>SUMIFS(MasterTable[Arrears + All Contractual Commitments (value next FY)],MasterTable[[Project Code and Name ]],PAProjects[[#This Row],[LINKING_CODE]],MasterTable[Funding Source],"GoU Funded")/10^9</f>
        <v>2</v>
      </c>
      <c r="T71" s="190">
        <f>SUMIFS(MasterTable[Arrears + All Contractual Commitments (value next FY)],MasterTable[[Project Code and Name ]],PAProjects[[#This Row],[LINKING_CODE]],MasterTable[Funding Source],"External Financing")/10^9</f>
        <v>5.5039999999999996</v>
      </c>
      <c r="U71" s="202">
        <f>PAProjects[[#This Row],[GOU 21/22]]+PAProjects[[#This Row],[DONOR 21/22]]</f>
        <v>7.5039999999999996</v>
      </c>
      <c r="V71" s="192">
        <f>SUMIFS(MasterTable[FY1 (FY22-23)],MasterTable[[Project Code and Name ]],PAProjects[[#This Row],[LINKING_CODE]],MasterTable[Funding Source],"GoU Funded")/10^9</f>
        <v>5</v>
      </c>
      <c r="W71" s="193">
        <f>SUMIFS(MasterTable[FY1 (FY22-23)],MasterTable[[Project Code and Name ]],PAProjects[[#This Row],[LINKING_CODE]],MasterTable[Funding Source],"External Financing")/10^9</f>
        <v>0</v>
      </c>
      <c r="X71" s="191">
        <f>PAProjects[[#This Row],[GOU 22/23]]+PAProjects[[#This Row],[DONOR 22/23]]</f>
        <v>5</v>
      </c>
      <c r="Y71" s="193">
        <f>SUMIFS(MasterTable[FY2 (FY23-24)],MasterTable[[Project Code and Name ]],PAProjects[[#This Row],[LINKING_CODE]],MasterTable[Funding Source],"GoU Funded")/10^9</f>
        <v>0</v>
      </c>
      <c r="Z71" s="193">
        <f>SUMIFS(MasterTable[FY2 (FY23-24)],MasterTable[[Project Code and Name ]],PAProjects[[#This Row],[LINKING_CODE]],MasterTable[Funding Source],"External Financing")/10^9</f>
        <v>0</v>
      </c>
      <c r="AA71" s="175">
        <f t="shared" si="4"/>
        <v>0</v>
      </c>
      <c r="AB71" s="193">
        <f>SUMIFS(MasterTable[FY3 (FY24-25)],MasterTable[[Project Code and Name ]],PAProjects[[#This Row],[LINKING_CODE]],MasterTable[Funding Source],"GoU Funded")/10^9</f>
        <v>0</v>
      </c>
      <c r="AC71" s="193">
        <f>SUMIFS(MasterTable[FY3 (FY24-25)],MasterTable[[Project Code and Name ]],PAProjects[[#This Row],[LINKING_CODE]],MasterTable[Funding Source],"External Financing")/10^9</f>
        <v>0</v>
      </c>
      <c r="AD71" s="191">
        <f>PAProjects[[#This Row],[GOU 24/25]]+PAProjects[[#This Row],[DONOR 24/25]]</f>
        <v>0</v>
      </c>
    </row>
    <row r="72" spans="1:30" ht="15" customHeight="1" x14ac:dyDescent="0.25">
      <c r="A72" s="180" t="s">
        <v>655</v>
      </c>
      <c r="B72" s="175" t="s">
        <v>24</v>
      </c>
      <c r="C72" s="175" t="e">
        <f ca="1">PAProjects[[#This Row],[LINKING_CODE]]=_xlfn.CONCAT(PAProjects[[#This Row],[Project Code]]," ",PAProjects[[#This Row],[Project Name]])</f>
        <v>#NAME?</v>
      </c>
      <c r="D72" s="175" t="str">
        <f>VLOOKUP(PAProjects[[#This Row],[LINKING_CODE]],MasterTable[[Project Code and Name ]],1,FALSE)</f>
        <v>1486 Development Innitiative for Northern Uganda</v>
      </c>
      <c r="E72" s="175" t="s">
        <v>529</v>
      </c>
      <c r="F72" s="175" t="s">
        <v>934</v>
      </c>
      <c r="G72" s="175" t="s">
        <v>0</v>
      </c>
      <c r="H72" s="175" t="str">
        <f>VLOOKUP(I72,'Program Codes'!C:D,2,FALSE)</f>
        <v>02</v>
      </c>
      <c r="I72" s="175" t="s">
        <v>936</v>
      </c>
      <c r="J72" s="175" t="s">
        <v>843</v>
      </c>
      <c r="K72" s="175" t="s">
        <v>935</v>
      </c>
      <c r="L72" s="175" t="s">
        <v>1509</v>
      </c>
      <c r="M72" s="182">
        <v>42917</v>
      </c>
      <c r="N72" s="182">
        <v>44742</v>
      </c>
      <c r="O72" s="183">
        <v>470.4</v>
      </c>
      <c r="P72" s="174"/>
      <c r="Q72" s="174">
        <f t="shared" si="5"/>
        <v>470.4</v>
      </c>
      <c r="R72" s="189">
        <v>0</v>
      </c>
      <c r="S72" s="190">
        <f>SUMIFS(MasterTable[Arrears + All Contractual Commitments (value next FY)],MasterTable[[Project Code and Name ]],PAProjects[[#This Row],[LINKING_CODE]],MasterTable[Funding Source],"GoU Funded")/10^9</f>
        <v>0</v>
      </c>
      <c r="T72" s="190">
        <f>SUMIFS(MasterTable[Arrears + All Contractual Commitments (value next FY)],MasterTable[[Project Code and Name ]],PAProjects[[#This Row],[LINKING_CODE]],MasterTable[Funding Source],"External Financing")/10^9</f>
        <v>389.81799999999998</v>
      </c>
      <c r="U72" s="191">
        <f>PAProjects[[#This Row],[GOU 21/22]]+PAProjects[[#This Row],[DONOR 21/22]]</f>
        <v>389.81799999999998</v>
      </c>
      <c r="V72" s="192">
        <f>SUMIFS(MasterTable[FY1 (FY22-23)],MasterTable[[Project Code and Name ]],PAProjects[[#This Row],[LINKING_CODE]],MasterTable[Funding Source],"GoU Funded")/10^9</f>
        <v>0</v>
      </c>
      <c r="W72" s="193">
        <f>SUMIFS(MasterTable[FY1 (FY22-23)],MasterTable[[Project Code and Name ]],PAProjects[[#This Row],[LINKING_CODE]],MasterTable[Funding Source],"External Financing")/10^9</f>
        <v>0</v>
      </c>
      <c r="X72" s="191">
        <f>PAProjects[[#This Row],[GOU 22/23]]+PAProjects[[#This Row],[DONOR 22/23]]</f>
        <v>0</v>
      </c>
      <c r="Y72" s="193">
        <f>SUMIFS(MasterTable[FY2 (FY23-24)],MasterTable[[Project Code and Name ]],PAProjects[[#This Row],[LINKING_CODE]],MasterTable[Funding Source],"GoU Funded")/10^9</f>
        <v>0</v>
      </c>
      <c r="Z72" s="193">
        <f>SUMIFS(MasterTable[FY2 (FY23-24)],MasterTable[[Project Code and Name ]],PAProjects[[#This Row],[LINKING_CODE]],MasterTable[Funding Source],"External Financing")/10^9</f>
        <v>0</v>
      </c>
      <c r="AA72" s="175"/>
      <c r="AB72" s="193">
        <f>SUMIFS(MasterTable[FY3 (FY24-25)],MasterTable[[Project Code and Name ]],PAProjects[[#This Row],[LINKING_CODE]],MasterTable[Funding Source],"GoU Funded")/10^9</f>
        <v>0</v>
      </c>
      <c r="AC72" s="193">
        <f>SUMIFS(MasterTable[FY3 (FY24-25)],MasterTable[[Project Code and Name ]],PAProjects[[#This Row],[LINKING_CODE]],MasterTable[Funding Source],"External Financing")/10^9</f>
        <v>0</v>
      </c>
      <c r="AD72" s="191">
        <f>PAProjects[[#This Row],[GOU 24/25]]+PAProjects[[#This Row],[DONOR 24/25]]</f>
        <v>0</v>
      </c>
    </row>
    <row r="73" spans="1:30" ht="15" customHeight="1" x14ac:dyDescent="0.25">
      <c r="A73" s="180" t="s">
        <v>657</v>
      </c>
      <c r="B73" s="175" t="s">
        <v>428</v>
      </c>
      <c r="C73" s="175" t="e">
        <f ca="1">PAProjects[[#This Row],[LINKING_CODE]]=_xlfn.CONCAT(PAProjects[[#This Row],[Project Code]]," ",PAProjects[[#This Row],[Project Name]])</f>
        <v>#NAME?</v>
      </c>
      <c r="D73" s="175" t="str">
        <f>VLOOKUP(PAProjects[[#This Row],[LINKING_CODE]],MasterTable[[Project Code and Name ]],1,FALSE)</f>
        <v>1489 Development of Kabaale Airport</v>
      </c>
      <c r="E73" s="175" t="s">
        <v>515</v>
      </c>
      <c r="F73" s="175" t="s">
        <v>944</v>
      </c>
      <c r="G73" s="175" t="s">
        <v>99</v>
      </c>
      <c r="H73" s="175" t="str">
        <f>VLOOKUP(I73,'Program Codes'!C:D,2,FALSE)</f>
        <v>08</v>
      </c>
      <c r="I73" s="175" t="s">
        <v>1007</v>
      </c>
      <c r="J73" s="175" t="s">
        <v>1014</v>
      </c>
      <c r="K73" s="175" t="s">
        <v>600</v>
      </c>
      <c r="L73" s="175" t="s">
        <v>1509</v>
      </c>
      <c r="M73" s="188">
        <v>42917</v>
      </c>
      <c r="N73" s="182">
        <v>44742</v>
      </c>
      <c r="O73" s="183">
        <v>22.188185376</v>
      </c>
      <c r="P73" s="184">
        <v>1220.4010379599999</v>
      </c>
      <c r="Q73" s="174">
        <f t="shared" si="5"/>
        <v>1242.589223336</v>
      </c>
      <c r="R73" s="189">
        <v>0</v>
      </c>
      <c r="S73" s="190">
        <f>SUMIFS(MasterTable[Arrears + All Contractual Commitments (value next FY)],MasterTable[[Project Code and Name ]],PAProjects[[#This Row],[LINKING_CODE]],MasterTable[Funding Source],"GoU Funded")/10^9</f>
        <v>3</v>
      </c>
      <c r="T73" s="190">
        <f>SUMIFS(MasterTable[Arrears + All Contractual Commitments (value next FY)],MasterTable[[Project Code and Name ]],PAProjects[[#This Row],[LINKING_CODE]],MasterTable[Funding Source],"External Financing")/10^9</f>
        <v>58.972000000000001</v>
      </c>
      <c r="U73" s="196">
        <f>PAProjects[[#This Row],[GOU 21/22]]+PAProjects[[#This Row],[DONOR 21/22]]</f>
        <v>61.972000000000001</v>
      </c>
      <c r="V73" s="192">
        <f>SUMIFS(MasterTable[FY1 (FY22-23)],MasterTable[[Project Code and Name ]],PAProjects[[#This Row],[LINKING_CODE]],MasterTable[Funding Source],"GoU Funded")/10^9</f>
        <v>6</v>
      </c>
      <c r="W73" s="193">
        <f>SUMIFS(MasterTable[FY1 (FY22-23)],MasterTable[[Project Code and Name ]],PAProjects[[#This Row],[LINKING_CODE]],MasterTable[Funding Source],"External Financing")/10^9</f>
        <v>465</v>
      </c>
      <c r="X73" s="191">
        <f>PAProjects[[#This Row],[GOU 22/23]]+PAProjects[[#This Row],[DONOR 22/23]]</f>
        <v>471</v>
      </c>
      <c r="Y73" s="193">
        <f>SUMIFS(MasterTable[FY2 (FY23-24)],MasterTable[[Project Code and Name ]],PAProjects[[#This Row],[LINKING_CODE]],MasterTable[Funding Source],"GoU Funded")/10^9</f>
        <v>0</v>
      </c>
      <c r="Z73" s="193">
        <f>SUMIFS(MasterTable[FY2 (FY23-24)],MasterTable[[Project Code and Name ]],PAProjects[[#This Row],[LINKING_CODE]],MasterTable[Funding Source],"External Financing")/10^9</f>
        <v>0</v>
      </c>
      <c r="AA73" s="175">
        <f t="shared" ref="AA73:AA78" si="6">Y73+Z73</f>
        <v>0</v>
      </c>
      <c r="AB73" s="193">
        <f>SUMIFS(MasterTable[FY3 (FY24-25)],MasterTable[[Project Code and Name ]],PAProjects[[#This Row],[LINKING_CODE]],MasterTable[Funding Source],"GoU Funded")/10^9</f>
        <v>0</v>
      </c>
      <c r="AC73" s="193">
        <f>SUMIFS(MasterTable[FY3 (FY24-25)],MasterTable[[Project Code and Name ]],PAProjects[[#This Row],[LINKING_CODE]],MasterTable[Funding Source],"External Financing")/10^9</f>
        <v>0</v>
      </c>
      <c r="AD73" s="191">
        <f>PAProjects[[#This Row],[GOU 24/25]]+PAProjects[[#This Row],[DONOR 24/25]]</f>
        <v>0</v>
      </c>
    </row>
    <row r="74" spans="1:30" ht="15" customHeight="1" x14ac:dyDescent="0.25">
      <c r="A74" s="180" t="s">
        <v>979</v>
      </c>
      <c r="B74" s="175" t="s">
        <v>407</v>
      </c>
      <c r="C74" s="175" t="e">
        <f ca="1">PAProjects[[#This Row],[LINKING_CODE]]=_xlfn.CONCAT(PAProjects[[#This Row],[Project Code]]," ",PAProjects[[#This Row],[Project Name]])</f>
        <v>#NAME?</v>
      </c>
      <c r="D74" s="175" t="str">
        <f>VLOOKUP(PAProjects[[#This Row],[LINKING_CODE]],MasterTable[[Project Code and Name ]],1,FALSE)</f>
        <v>1490 Luwero- Butalangu</v>
      </c>
      <c r="E74" s="175" t="s">
        <v>515</v>
      </c>
      <c r="F74" s="175" t="s">
        <v>944</v>
      </c>
      <c r="G74" s="175" t="s">
        <v>113</v>
      </c>
      <c r="H74" s="175" t="str">
        <f>VLOOKUP(I74,'Program Codes'!C:D,2,FALSE)</f>
        <v>08</v>
      </c>
      <c r="I74" s="175" t="s">
        <v>1007</v>
      </c>
      <c r="J74" s="175" t="s">
        <v>1068</v>
      </c>
      <c r="K74" s="175" t="s">
        <v>1069</v>
      </c>
      <c r="L74" s="175" t="s">
        <v>1509</v>
      </c>
      <c r="M74" s="188">
        <v>42917</v>
      </c>
      <c r="N74" s="182">
        <v>44742</v>
      </c>
      <c r="O74" s="183">
        <v>96.9</v>
      </c>
      <c r="P74" s="184">
        <v>13.2</v>
      </c>
      <c r="Q74" s="174">
        <f t="shared" si="5"/>
        <v>110.10000000000001</v>
      </c>
      <c r="R74" s="189">
        <v>0</v>
      </c>
      <c r="S74" s="190">
        <f>SUMIFS(MasterTable[Arrears + All Contractual Commitments (value next FY)],MasterTable[[Project Code and Name ]],PAProjects[[#This Row],[LINKING_CODE]],MasterTable[Funding Source],"GoU Funded")/10^9</f>
        <v>0.1</v>
      </c>
      <c r="T74" s="190">
        <f>SUMIFS(MasterTable[Arrears + All Contractual Commitments (value next FY)],MasterTable[[Project Code and Name ]],PAProjects[[#This Row],[LINKING_CODE]],MasterTable[Funding Source],"External Financing")/10^9</f>
        <v>37.764234999999999</v>
      </c>
      <c r="U74" s="191">
        <f>PAProjects[[#This Row],[GOU 21/22]]+PAProjects[[#This Row],[DONOR 21/22]]</f>
        <v>37.864235000000001</v>
      </c>
      <c r="V74" s="192">
        <f>SUMIFS(MasterTable[FY1 (FY22-23)],MasterTable[[Project Code and Name ]],PAProjects[[#This Row],[LINKING_CODE]],MasterTable[Funding Source],"GoU Funded")/10^9</f>
        <v>0</v>
      </c>
      <c r="W74" s="193">
        <f>SUMIFS(MasterTable[FY1 (FY22-23)],MasterTable[[Project Code and Name ]],PAProjects[[#This Row],[LINKING_CODE]],MasterTable[Funding Source],"External Financing")/10^9</f>
        <v>0</v>
      </c>
      <c r="X74" s="191">
        <f>PAProjects[[#This Row],[GOU 22/23]]+PAProjects[[#This Row],[DONOR 22/23]]</f>
        <v>0</v>
      </c>
      <c r="Y74" s="193">
        <f>SUMIFS(MasterTable[FY2 (FY23-24)],MasterTable[[Project Code and Name ]],PAProjects[[#This Row],[LINKING_CODE]],MasterTable[Funding Source],"GoU Funded")/10^9</f>
        <v>0</v>
      </c>
      <c r="Z74" s="193">
        <f>SUMIFS(MasterTable[FY2 (FY23-24)],MasterTable[[Project Code and Name ]],PAProjects[[#This Row],[LINKING_CODE]],MasterTable[Funding Source],"External Financing")/10^9</f>
        <v>0</v>
      </c>
      <c r="AA74" s="175">
        <f t="shared" si="6"/>
        <v>0</v>
      </c>
      <c r="AB74" s="193">
        <f>SUMIFS(MasterTable[FY3 (FY24-25)],MasterTable[[Project Code and Name ]],PAProjects[[#This Row],[LINKING_CODE]],MasterTable[Funding Source],"GoU Funded")/10^9</f>
        <v>0</v>
      </c>
      <c r="AC74" s="193">
        <f>SUMIFS(MasterTable[FY3 (FY24-25)],MasterTable[[Project Code and Name ]],PAProjects[[#This Row],[LINKING_CODE]],MasterTable[Funding Source],"External Financing")/10^9</f>
        <v>0</v>
      </c>
      <c r="AD74" s="191">
        <f>PAProjects[[#This Row],[GOU 24/25]]+PAProjects[[#This Row],[DONOR 24/25]]</f>
        <v>0</v>
      </c>
    </row>
    <row r="75" spans="1:30" ht="15" customHeight="1" x14ac:dyDescent="0.25">
      <c r="A75" s="180" t="s">
        <v>980</v>
      </c>
      <c r="B75" s="175" t="s">
        <v>470</v>
      </c>
      <c r="C75" s="175" t="e">
        <f ca="1">PAProjects[[#This Row],[LINKING_CODE]]=_xlfn.CONCAT(PAProjects[[#This Row],[Project Code]]," ",PAProjects[[#This Row],[Project Name]])</f>
        <v>#NAME?</v>
      </c>
      <c r="D75" s="175" t="str">
        <f>VLOOKUP(PAProjects[[#This Row],[LINKING_CODE]],MasterTable[[Project Code and Name ]],1,FALSE)</f>
        <v>1491 African Centers of Excellence II</v>
      </c>
      <c r="E75" s="175" t="s">
        <v>519</v>
      </c>
      <c r="F75" s="175" t="s">
        <v>960</v>
      </c>
      <c r="G75" s="175" t="s">
        <v>961</v>
      </c>
      <c r="H75" s="175" t="str">
        <f>VLOOKUP(I75,'Program Codes'!C:D,2,FALSE)</f>
        <v>06</v>
      </c>
      <c r="I75" s="175" t="s">
        <v>962</v>
      </c>
      <c r="J75" s="175" t="s">
        <v>682</v>
      </c>
      <c r="K75" s="175" t="s">
        <v>969</v>
      </c>
      <c r="L75" s="175" t="s">
        <v>1509</v>
      </c>
      <c r="M75" s="182">
        <v>42917</v>
      </c>
      <c r="N75" s="182">
        <v>44742</v>
      </c>
      <c r="O75" s="183">
        <v>0.5</v>
      </c>
      <c r="P75" s="184">
        <v>80.88</v>
      </c>
      <c r="Q75" s="174">
        <f t="shared" si="5"/>
        <v>81.38</v>
      </c>
      <c r="R75" s="189">
        <v>0</v>
      </c>
      <c r="S75" s="190">
        <f>SUMIFS(MasterTable[Arrears + All Contractual Commitments (value next FY)],MasterTable[[Project Code and Name ]],PAProjects[[#This Row],[LINKING_CODE]],MasterTable[Funding Source],"GoU Funded")/10^9</f>
        <v>0</v>
      </c>
      <c r="T75" s="190">
        <f>SUMIFS(MasterTable[Arrears + All Contractual Commitments (value next FY)],MasterTable[[Project Code and Name ]],PAProjects[[#This Row],[LINKING_CODE]],MasterTable[Funding Source],"External Financing")/10^9</f>
        <v>17.489999999999998</v>
      </c>
      <c r="U75" s="191">
        <f>PAProjects[[#This Row],[GOU 21/22]]+PAProjects[[#This Row],[DONOR 21/22]]</f>
        <v>17.489999999999998</v>
      </c>
      <c r="V75" s="192">
        <f>SUMIFS(MasterTable[FY1 (FY22-23)],MasterTable[[Project Code and Name ]],PAProjects[[#This Row],[LINKING_CODE]],MasterTable[Funding Source],"GoU Funded")/10^9</f>
        <v>0</v>
      </c>
      <c r="W75" s="193">
        <f>SUMIFS(MasterTable[FY1 (FY22-23)],MasterTable[[Project Code and Name ]],PAProjects[[#This Row],[LINKING_CODE]],MasterTable[Funding Source],"External Financing")/10^9</f>
        <v>0</v>
      </c>
      <c r="X75" s="191">
        <f>PAProjects[[#This Row],[GOU 22/23]]+PAProjects[[#This Row],[DONOR 22/23]]</f>
        <v>0</v>
      </c>
      <c r="Y75" s="193">
        <f>SUMIFS(MasterTable[FY2 (FY23-24)],MasterTable[[Project Code and Name ]],PAProjects[[#This Row],[LINKING_CODE]],MasterTable[Funding Source],"GoU Funded")/10^9</f>
        <v>0</v>
      </c>
      <c r="Z75" s="193">
        <f>SUMIFS(MasterTable[FY2 (FY23-24)],MasterTable[[Project Code and Name ]],PAProjects[[#This Row],[LINKING_CODE]],MasterTable[Funding Source],"External Financing")/10^9</f>
        <v>0</v>
      </c>
      <c r="AA75" s="175">
        <f t="shared" si="6"/>
        <v>0</v>
      </c>
      <c r="AB75" s="193">
        <f>SUMIFS(MasterTable[FY3 (FY24-25)],MasterTable[[Project Code and Name ]],PAProjects[[#This Row],[LINKING_CODE]],MasterTable[Funding Source],"GoU Funded")/10^9</f>
        <v>0</v>
      </c>
      <c r="AC75" s="193">
        <f>SUMIFS(MasterTable[FY3 (FY24-25)],MasterTable[[Project Code and Name ]],PAProjects[[#This Row],[LINKING_CODE]],MasterTable[Funding Source],"External Financing")/10^9</f>
        <v>0</v>
      </c>
      <c r="AD75" s="191">
        <f>PAProjects[[#This Row],[GOU 24/25]]+PAProjects[[#This Row],[DONOR 24/25]]</f>
        <v>0</v>
      </c>
    </row>
    <row r="76" spans="1:30" ht="15" customHeight="1" x14ac:dyDescent="0.25">
      <c r="A76" s="180" t="s">
        <v>981</v>
      </c>
      <c r="B76" s="175" t="s">
        <v>50</v>
      </c>
      <c r="C76" s="175" t="e">
        <f ca="1">PAProjects[[#This Row],[LINKING_CODE]]=_xlfn.CONCAT(PAProjects[[#This Row],[Project Code]]," ",PAProjects[[#This Row],[Project Name]])</f>
        <v>#NAME?</v>
      </c>
      <c r="D76" s="175" t="str">
        <f>VLOOKUP(PAProjects[[#This Row],[LINKING_CODE]],MasterTable[[Project Code and Name ]],1,FALSE)</f>
        <v>1492 Kampala Metropolitan Transmission System Improvement Project</v>
      </c>
      <c r="E76" s="175" t="s">
        <v>513</v>
      </c>
      <c r="F76" s="175" t="s">
        <v>1089</v>
      </c>
      <c r="G76" s="175" t="s">
        <v>66</v>
      </c>
      <c r="H76" s="175" t="str">
        <f>VLOOKUP(I76,'Program Codes'!C:D,2,FALSE)</f>
        <v>15</v>
      </c>
      <c r="I76" s="175" t="s">
        <v>1251</v>
      </c>
      <c r="J76" s="175" t="s">
        <v>1257</v>
      </c>
      <c r="K76" s="175" t="s">
        <v>570</v>
      </c>
      <c r="L76" s="175" t="s">
        <v>1509</v>
      </c>
      <c r="M76" s="182">
        <v>42917</v>
      </c>
      <c r="N76" s="182">
        <v>44742</v>
      </c>
      <c r="O76" s="198">
        <v>47.6</v>
      </c>
      <c r="P76" s="199">
        <v>437.85</v>
      </c>
      <c r="Q76" s="174">
        <f t="shared" si="5"/>
        <v>485.45000000000005</v>
      </c>
      <c r="R76" s="189">
        <v>0</v>
      </c>
      <c r="S76" s="190">
        <f>SUMIFS(MasterTable[Arrears + All Contractual Commitments (value next FY)],MasterTable[[Project Code and Name ]],PAProjects[[#This Row],[LINKING_CODE]],MasterTable[Funding Source],"GoU Funded")/10^9</f>
        <v>1.96</v>
      </c>
      <c r="T76" s="190">
        <f>SUMIFS(MasterTable[Arrears + All Contractual Commitments (value next FY)],MasterTable[[Project Code and Name ]],PAProjects[[#This Row],[LINKING_CODE]],MasterTable[Funding Source],"External Financing")/10^9</f>
        <v>84.71</v>
      </c>
      <c r="U76" s="191">
        <f>PAProjects[[#This Row],[GOU 21/22]]+PAProjects[[#This Row],[DONOR 21/22]]</f>
        <v>86.669999999999987</v>
      </c>
      <c r="V76" s="192">
        <f>SUMIFS(MasterTable[FY1 (FY22-23)],MasterTable[[Project Code and Name ]],PAProjects[[#This Row],[LINKING_CODE]],MasterTable[Funding Source],"GoU Funded")/10^9</f>
        <v>0</v>
      </c>
      <c r="W76" s="193">
        <f>SUMIFS(MasterTable[FY1 (FY22-23)],MasterTable[[Project Code and Name ]],PAProjects[[#This Row],[LINKING_CODE]],MasterTable[Funding Source],"External Financing")/10^9</f>
        <v>0</v>
      </c>
      <c r="X76" s="191">
        <f>PAProjects[[#This Row],[GOU 22/23]]+PAProjects[[#This Row],[DONOR 22/23]]</f>
        <v>0</v>
      </c>
      <c r="Y76" s="193">
        <f>SUMIFS(MasterTable[FY2 (FY23-24)],MasterTable[[Project Code and Name ]],PAProjects[[#This Row],[LINKING_CODE]],MasterTable[Funding Source],"GoU Funded")/10^9</f>
        <v>0</v>
      </c>
      <c r="Z76" s="193">
        <f>SUMIFS(MasterTable[FY2 (FY23-24)],MasterTable[[Project Code and Name ]],PAProjects[[#This Row],[LINKING_CODE]],MasterTable[Funding Source],"External Financing")/10^9</f>
        <v>0</v>
      </c>
      <c r="AA76" s="175">
        <f t="shared" si="6"/>
        <v>0</v>
      </c>
      <c r="AB76" s="193">
        <f>SUMIFS(MasterTable[FY3 (FY24-25)],MasterTable[[Project Code and Name ]],PAProjects[[#This Row],[LINKING_CODE]],MasterTable[Funding Source],"GoU Funded")/10^9</f>
        <v>0</v>
      </c>
      <c r="AC76" s="193">
        <f>SUMIFS(MasterTable[FY3 (FY24-25)],MasterTable[[Project Code and Name ]],PAProjects[[#This Row],[LINKING_CODE]],MasterTable[Funding Source],"External Financing")/10^9</f>
        <v>0</v>
      </c>
      <c r="AD76" s="191">
        <f>PAProjects[[#This Row],[GOU 24/25]]+PAProjects[[#This Row],[DONOR 24/25]]</f>
        <v>0</v>
      </c>
    </row>
    <row r="77" spans="1:30" ht="15" customHeight="1" x14ac:dyDescent="0.25">
      <c r="A77" s="180" t="s">
        <v>982</v>
      </c>
      <c r="B77" s="175" t="s">
        <v>377</v>
      </c>
      <c r="C77" s="175" t="e">
        <f ca="1">PAProjects[[#This Row],[LINKING_CODE]]=_xlfn.CONCAT(PAProjects[[#This Row],[Project Code]]," ",PAProjects[[#This Row],[Project Name]])</f>
        <v>#NAME?</v>
      </c>
      <c r="D77" s="175" t="str">
        <f>VLOOKUP(PAProjects[[#This Row],[LINKING_CODE]],MasterTable[[Project Code and Name ]],1,FALSE)</f>
        <v>1495 Rural Industrial Development Project (OVOP Project Phase III)</v>
      </c>
      <c r="E77" s="175" t="s">
        <v>518</v>
      </c>
      <c r="F77" s="175" t="s">
        <v>927</v>
      </c>
      <c r="G77" s="175" t="s">
        <v>98</v>
      </c>
      <c r="H77" s="175" t="str">
        <f>VLOOKUP(I77,'Program Codes'!C:D,2,FALSE)</f>
        <v>01</v>
      </c>
      <c r="I77" s="175" t="s">
        <v>928</v>
      </c>
      <c r="J77" s="175" t="s">
        <v>662</v>
      </c>
      <c r="K77" s="175" t="s">
        <v>663</v>
      </c>
      <c r="L77" s="175" t="s">
        <v>1509</v>
      </c>
      <c r="M77" s="182">
        <v>42917</v>
      </c>
      <c r="N77" s="182">
        <v>44742</v>
      </c>
      <c r="O77" s="183">
        <v>167</v>
      </c>
      <c r="P77" s="174"/>
      <c r="Q77" s="174">
        <f t="shared" si="5"/>
        <v>167</v>
      </c>
      <c r="R77" s="189">
        <v>0.45</v>
      </c>
      <c r="S77" s="190">
        <f>SUMIFS(MasterTable[Arrears + All Contractual Commitments (value next FY)],MasterTable[[Project Code and Name ]],PAProjects[[#This Row],[LINKING_CODE]],MasterTable[Funding Source],"GoU Funded")/10^9</f>
        <v>31.914359999999999</v>
      </c>
      <c r="T77" s="190">
        <f>SUMIFS(MasterTable[Arrears + All Contractual Commitments (value next FY)],MasterTable[[Project Code and Name ]],PAProjects[[#This Row],[LINKING_CODE]],MasterTable[Funding Source],"External Financing")/10^9</f>
        <v>0</v>
      </c>
      <c r="U77" s="191">
        <f>PAProjects[[#This Row],[GOU 21/22]]+PAProjects[[#This Row],[DONOR 21/22]]</f>
        <v>31.914359999999999</v>
      </c>
      <c r="V77" s="192">
        <f>SUMIFS(MasterTable[FY1 (FY22-23)],MasterTable[[Project Code and Name ]],PAProjects[[#This Row],[LINKING_CODE]],MasterTable[Funding Source],"GoU Funded")/10^9</f>
        <v>0</v>
      </c>
      <c r="W77" s="193">
        <f>SUMIFS(MasterTable[FY1 (FY22-23)],MasterTable[[Project Code and Name ]],PAProjects[[#This Row],[LINKING_CODE]],MasterTable[Funding Source],"External Financing")/10^9</f>
        <v>0</v>
      </c>
      <c r="X77" s="191">
        <f>PAProjects[[#This Row],[GOU 22/23]]+PAProjects[[#This Row],[DONOR 22/23]]</f>
        <v>0</v>
      </c>
      <c r="Y77" s="193">
        <f>SUMIFS(MasterTable[FY2 (FY23-24)],MasterTable[[Project Code and Name ]],PAProjects[[#This Row],[LINKING_CODE]],MasterTable[Funding Source],"GoU Funded")/10^9</f>
        <v>0</v>
      </c>
      <c r="Z77" s="193">
        <f>SUMIFS(MasterTable[FY2 (FY23-24)],MasterTable[[Project Code and Name ]],PAProjects[[#This Row],[LINKING_CODE]],MasterTable[Funding Source],"External Financing")/10^9</f>
        <v>0</v>
      </c>
      <c r="AA77" s="175">
        <f t="shared" si="6"/>
        <v>0</v>
      </c>
      <c r="AB77" s="193">
        <f>SUMIFS(MasterTable[FY3 (FY24-25)],MasterTable[[Project Code and Name ]],PAProjects[[#This Row],[LINKING_CODE]],MasterTable[Funding Source],"GoU Funded")/10^9</f>
        <v>0</v>
      </c>
      <c r="AC77" s="193">
        <f>SUMIFS(MasterTable[FY3 (FY24-25)],MasterTable[[Project Code and Name ]],PAProjects[[#This Row],[LINKING_CODE]],MasterTable[Funding Source],"External Financing")/10^9</f>
        <v>0</v>
      </c>
      <c r="AD77" s="191">
        <f>PAProjects[[#This Row],[GOU 24/25]]+PAProjects[[#This Row],[DONOR 24/25]]</f>
        <v>0</v>
      </c>
    </row>
    <row r="78" spans="1:30" ht="15" customHeight="1" x14ac:dyDescent="0.25">
      <c r="A78" s="180" t="s">
        <v>983</v>
      </c>
      <c r="B78" s="175" t="s">
        <v>51</v>
      </c>
      <c r="C78" s="175" t="e">
        <f ca="1">PAProjects[[#This Row],[LINKING_CODE]]=_xlfn.CONCAT(PAProjects[[#This Row],[Project Code]]," ",PAProjects[[#This Row],[Project Name]])</f>
        <v>#NAME?</v>
      </c>
      <c r="D78" s="175" t="str">
        <f>VLOOKUP(PAProjects[[#This Row],[LINKING_CODE]],MasterTable[[Project Code and Name ]],1,FALSE)</f>
        <v>1497 Masaka-Mbarara Grid Expansion Line</v>
      </c>
      <c r="E78" s="175" t="s">
        <v>513</v>
      </c>
      <c r="F78" s="175" t="s">
        <v>1089</v>
      </c>
      <c r="G78" s="175" t="s">
        <v>66</v>
      </c>
      <c r="H78" s="175" t="str">
        <f>VLOOKUP(I78,'Program Codes'!C:D,2,FALSE)</f>
        <v>15</v>
      </c>
      <c r="I78" s="175" t="s">
        <v>1251</v>
      </c>
      <c r="J78" s="175" t="s">
        <v>1258</v>
      </c>
      <c r="K78" s="175" t="s">
        <v>571</v>
      </c>
      <c r="L78" s="175" t="s">
        <v>1509</v>
      </c>
      <c r="M78" s="182">
        <v>42917</v>
      </c>
      <c r="N78" s="182">
        <v>44742</v>
      </c>
      <c r="O78" s="198">
        <v>88.3</v>
      </c>
      <c r="P78" s="199">
        <v>346.77199999999999</v>
      </c>
      <c r="Q78" s="174">
        <f t="shared" si="5"/>
        <v>435.072</v>
      </c>
      <c r="R78" s="189">
        <v>0</v>
      </c>
      <c r="S78" s="190">
        <f>SUMIFS(MasterTable[Arrears + All Contractual Commitments (value next FY)],MasterTable[[Project Code and Name ]],PAProjects[[#This Row],[LINKING_CODE]],MasterTable[Funding Source],"GoU Funded")/10^9</f>
        <v>13.33</v>
      </c>
      <c r="T78" s="190">
        <f>SUMIFS(MasterTable[Arrears + All Contractual Commitments (value next FY)],MasterTable[[Project Code and Name ]],PAProjects[[#This Row],[LINKING_CODE]],MasterTable[Funding Source],"External Financing")/10^9</f>
        <v>15.39</v>
      </c>
      <c r="U78" s="191">
        <f>PAProjects[[#This Row],[GOU 21/22]]+PAProjects[[#This Row],[DONOR 21/22]]</f>
        <v>28.72</v>
      </c>
      <c r="V78" s="192">
        <f>SUMIFS(MasterTable[FY1 (FY22-23)],MasterTable[[Project Code and Name ]],PAProjects[[#This Row],[LINKING_CODE]],MasterTable[Funding Source],"GoU Funded")/10^9</f>
        <v>0</v>
      </c>
      <c r="W78" s="193">
        <f>SUMIFS(MasterTable[FY1 (FY22-23)],MasterTable[[Project Code and Name ]],PAProjects[[#This Row],[LINKING_CODE]],MasterTable[Funding Source],"External Financing")/10^9</f>
        <v>0</v>
      </c>
      <c r="X78" s="191">
        <f>PAProjects[[#This Row],[GOU 22/23]]+PAProjects[[#This Row],[DONOR 22/23]]</f>
        <v>0</v>
      </c>
      <c r="Y78" s="193">
        <f>SUMIFS(MasterTable[FY2 (FY23-24)],MasterTable[[Project Code and Name ]],PAProjects[[#This Row],[LINKING_CODE]],MasterTable[Funding Source],"GoU Funded")/10^9</f>
        <v>0</v>
      </c>
      <c r="Z78" s="193">
        <f>SUMIFS(MasterTable[FY2 (FY23-24)],MasterTable[[Project Code and Name ]],PAProjects[[#This Row],[LINKING_CODE]],MasterTable[Funding Source],"External Financing")/10^9</f>
        <v>0</v>
      </c>
      <c r="AA78" s="175">
        <f t="shared" si="6"/>
        <v>0</v>
      </c>
      <c r="AB78" s="193">
        <f>SUMIFS(MasterTable[FY3 (FY24-25)],MasterTable[[Project Code and Name ]],PAProjects[[#This Row],[LINKING_CODE]],MasterTable[Funding Source],"GoU Funded")/10^9</f>
        <v>0</v>
      </c>
      <c r="AC78" s="193">
        <f>SUMIFS(MasterTable[FY3 (FY24-25)],MasterTable[[Project Code and Name ]],PAProjects[[#This Row],[LINKING_CODE]],MasterTable[Funding Source],"External Financing")/10^9</f>
        <v>0</v>
      </c>
      <c r="AD78" s="191">
        <f>PAProjects[[#This Row],[GOU 24/25]]+PAProjects[[#This Row],[DONOR 24/25]]</f>
        <v>0</v>
      </c>
    </row>
    <row r="79" spans="1:30" ht="15" customHeight="1" x14ac:dyDescent="0.25">
      <c r="A79" s="180" t="s">
        <v>984</v>
      </c>
      <c r="B79" s="175" t="s">
        <v>29</v>
      </c>
      <c r="C79" s="175" t="e">
        <f ca="1">PAProjects[[#This Row],[LINKING_CODE]]=_xlfn.CONCAT(PAProjects[[#This Row],[Project Code]]," ",PAProjects[[#This Row],[Project Name]])</f>
        <v>#NAME?</v>
      </c>
      <c r="D79" s="175" t="str">
        <f>VLOOKUP(PAProjects[[#This Row],[LINKING_CODE]],MasterTable[[Project Code and Name ]],1,FALSE)</f>
        <v>1499 Development Response for Displacement IMPACTS Project (DRDIP)</v>
      </c>
      <c r="E79" s="175" t="s">
        <v>529</v>
      </c>
      <c r="F79" s="175" t="s">
        <v>934</v>
      </c>
      <c r="G79" s="175" t="s">
        <v>0</v>
      </c>
      <c r="H79" s="175" t="str">
        <f>VLOOKUP(I79,'Program Codes'!C:D,2,FALSE)</f>
        <v>02</v>
      </c>
      <c r="I79" s="175" t="s">
        <v>936</v>
      </c>
      <c r="J79" s="175" t="s">
        <v>844</v>
      </c>
      <c r="K79" s="175" t="s">
        <v>937</v>
      </c>
      <c r="L79" s="175" t="s">
        <v>1509</v>
      </c>
      <c r="M79" s="182">
        <v>42917</v>
      </c>
      <c r="N79" s="182">
        <v>44742</v>
      </c>
      <c r="O79" s="183"/>
      <c r="P79" s="184">
        <v>170</v>
      </c>
      <c r="Q79" s="174">
        <f t="shared" si="5"/>
        <v>170</v>
      </c>
      <c r="R79" s="189">
        <v>0</v>
      </c>
      <c r="S79" s="190">
        <f>SUMIFS(MasterTable[Arrears + All Contractual Commitments (value next FY)],MasterTable[[Project Code and Name ]],PAProjects[[#This Row],[LINKING_CODE]],MasterTable[Funding Source],"GoU Funded")/10^9</f>
        <v>0</v>
      </c>
      <c r="T79" s="190">
        <f>SUMIFS(MasterTable[Arrears + All Contractual Commitments (value next FY)],MasterTable[[Project Code and Name ]],PAProjects[[#This Row],[LINKING_CODE]],MasterTable[Funding Source],"External Financing")/10^9</f>
        <v>176.91</v>
      </c>
      <c r="U79" s="191">
        <f>PAProjects[[#This Row],[GOU 21/22]]+PAProjects[[#This Row],[DONOR 21/22]]</f>
        <v>176.91</v>
      </c>
      <c r="V79" s="192">
        <f>SUMIFS(MasterTable[FY1 (FY22-23)],MasterTable[[Project Code and Name ]],PAProjects[[#This Row],[LINKING_CODE]],MasterTable[Funding Source],"GoU Funded")/10^9</f>
        <v>0</v>
      </c>
      <c r="W79" s="193">
        <f>SUMIFS(MasterTable[FY1 (FY22-23)],MasterTable[[Project Code and Name ]],PAProjects[[#This Row],[LINKING_CODE]],MasterTable[Funding Source],"External Financing")/10^9</f>
        <v>0</v>
      </c>
      <c r="X79" s="191">
        <f>PAProjects[[#This Row],[GOU 22/23]]+PAProjects[[#This Row],[DONOR 22/23]]</f>
        <v>0</v>
      </c>
      <c r="Y79" s="193">
        <f>SUMIFS(MasterTable[FY2 (FY23-24)],MasterTable[[Project Code and Name ]],PAProjects[[#This Row],[LINKING_CODE]],MasterTable[Funding Source],"GoU Funded")/10^9</f>
        <v>0</v>
      </c>
      <c r="Z79" s="193">
        <f>SUMIFS(MasterTable[FY2 (FY23-24)],MasterTable[[Project Code and Name ]],PAProjects[[#This Row],[LINKING_CODE]],MasterTable[Funding Source],"External Financing")/10^9</f>
        <v>0</v>
      </c>
      <c r="AA79" s="175"/>
      <c r="AB79" s="193">
        <f>SUMIFS(MasterTable[FY3 (FY24-25)],MasterTable[[Project Code and Name ]],PAProjects[[#This Row],[LINKING_CODE]],MasterTable[Funding Source],"GoU Funded")/10^9</f>
        <v>0</v>
      </c>
      <c r="AC79" s="193">
        <f>SUMIFS(MasterTable[FY3 (FY24-25)],MasterTable[[Project Code and Name ]],PAProjects[[#This Row],[LINKING_CODE]],MasterTable[Funding Source],"External Financing")/10^9</f>
        <v>0</v>
      </c>
      <c r="AD79" s="191">
        <f>PAProjects[[#This Row],[GOU 24/25]]+PAProjects[[#This Row],[DONOR 24/25]]</f>
        <v>0</v>
      </c>
    </row>
    <row r="80" spans="1:30" ht="15" customHeight="1" x14ac:dyDescent="0.25">
      <c r="A80" s="180" t="s">
        <v>985</v>
      </c>
      <c r="B80" s="175" t="s">
        <v>486</v>
      </c>
      <c r="C80" s="175" t="e">
        <f ca="1">PAProjects[[#This Row],[LINKING_CODE]]=_xlfn.CONCAT(PAProjects[[#This Row],[Project Code]]," ",PAProjects[[#This Row],[Project Name]])</f>
        <v>#NAME?</v>
      </c>
      <c r="D80" s="175" t="str">
        <f>VLOOKUP(PAProjects[[#This Row],[LINKING_CODE]],MasterTable[[Project Code and Name ]],1,FALSE)</f>
        <v>1509 Local Economic Growth (LEGS) Support Project</v>
      </c>
      <c r="E80" s="175" t="s">
        <v>540</v>
      </c>
      <c r="F80" s="175" t="s">
        <v>931</v>
      </c>
      <c r="G80" s="175" t="s">
        <v>932</v>
      </c>
      <c r="H80" s="175" t="str">
        <f>VLOOKUP(I80,'Program Codes'!C:D,2,FALSE)</f>
        <v>02</v>
      </c>
      <c r="I80" s="175" t="s">
        <v>936</v>
      </c>
      <c r="J80" s="175" t="s">
        <v>938</v>
      </c>
      <c r="K80" s="175" t="s">
        <v>939</v>
      </c>
      <c r="L80" s="175" t="s">
        <v>1509</v>
      </c>
      <c r="M80" s="182">
        <v>43282</v>
      </c>
      <c r="N80" s="182">
        <v>44742</v>
      </c>
      <c r="O80" s="174">
        <v>50.4</v>
      </c>
      <c r="P80" s="174"/>
      <c r="Q80" s="174">
        <f t="shared" si="5"/>
        <v>50.4</v>
      </c>
      <c r="R80" s="189">
        <v>0</v>
      </c>
      <c r="S80" s="190">
        <f>SUMIFS(MasterTable[Arrears + All Contractual Commitments (value next FY)],MasterTable[[Project Code and Name ]],PAProjects[[#This Row],[LINKING_CODE]],MasterTable[Funding Source],"GoU Funded")/10^9</f>
        <v>7.2960000000000003</v>
      </c>
      <c r="T80" s="190">
        <f>SUMIFS(MasterTable[Arrears + All Contractual Commitments (value next FY)],MasterTable[[Project Code and Name ]],PAProjects[[#This Row],[LINKING_CODE]],MasterTable[Funding Source],"External Financing")/10^9</f>
        <v>50.71</v>
      </c>
      <c r="U80" s="202">
        <f>PAProjects[[#This Row],[GOU 21/22]]+PAProjects[[#This Row],[DONOR 21/22]]</f>
        <v>58.006</v>
      </c>
      <c r="V80" s="192">
        <f>SUMIFS(MasterTable[FY1 (FY22-23)],MasterTable[[Project Code and Name ]],PAProjects[[#This Row],[LINKING_CODE]],MasterTable[Funding Source],"GoU Funded")/10^9</f>
        <v>3.6480000000000001</v>
      </c>
      <c r="W80" s="193">
        <f>SUMIFS(MasterTable[FY1 (FY22-23)],MasterTable[[Project Code and Name ]],PAProjects[[#This Row],[LINKING_CODE]],MasterTable[Funding Source],"External Financing")/10^9</f>
        <v>43.8</v>
      </c>
      <c r="X80" s="191">
        <f>PAProjects[[#This Row],[GOU 22/23]]+PAProjects[[#This Row],[DONOR 22/23]]</f>
        <v>47.448</v>
      </c>
      <c r="Y80" s="193">
        <f>SUMIFS(MasterTable[FY2 (FY23-24)],MasterTable[[Project Code and Name ]],PAProjects[[#This Row],[LINKING_CODE]],MasterTable[Funding Source],"GoU Funded")/10^9</f>
        <v>0</v>
      </c>
      <c r="Z80" s="193">
        <f>SUMIFS(MasterTable[FY2 (FY23-24)],MasterTable[[Project Code and Name ]],PAProjects[[#This Row],[LINKING_CODE]],MasterTable[Funding Source],"External Financing")/10^9</f>
        <v>0</v>
      </c>
      <c r="AA80" s="175"/>
      <c r="AB80" s="193">
        <f>SUMIFS(MasterTable[FY3 (FY24-25)],MasterTable[[Project Code and Name ]],PAProjects[[#This Row],[LINKING_CODE]],MasterTable[Funding Source],"GoU Funded")/10^9</f>
        <v>0</v>
      </c>
      <c r="AC80" s="193">
        <f>SUMIFS(MasterTable[FY3 (FY24-25)],MasterTable[[Project Code and Name ]],PAProjects[[#This Row],[LINKING_CODE]],MasterTable[Funding Source],"External Financing")/10^9</f>
        <v>0</v>
      </c>
      <c r="AD80" s="191">
        <f>PAProjects[[#This Row],[GOU 24/25]]+PAProjects[[#This Row],[DONOR 24/25]]</f>
        <v>0</v>
      </c>
    </row>
    <row r="81" spans="1:30" ht="15" customHeight="1" x14ac:dyDescent="0.25">
      <c r="A81" s="180" t="s">
        <v>986</v>
      </c>
      <c r="B81" s="175" t="s">
        <v>360</v>
      </c>
      <c r="C81" s="175" t="e">
        <f ca="1">PAProjects[[#This Row],[LINKING_CODE]]=_xlfn.CONCAT(PAProjects[[#This Row],[Project Code]]," ",PAProjects[[#This Row],[Project Name]])</f>
        <v>#NAME?</v>
      </c>
      <c r="D81" s="175" t="str">
        <f>VLOOKUP(PAProjects[[#This Row],[LINKING_CODE]],MasterTable[[Project Code and Name ]],1,FALSE)</f>
        <v>1511 Kiira Motors Corporation</v>
      </c>
      <c r="E81" s="175" t="s">
        <v>537</v>
      </c>
      <c r="F81" s="175" t="s">
        <v>997</v>
      </c>
      <c r="G81" s="175" t="s">
        <v>72</v>
      </c>
      <c r="H81" s="175" t="str">
        <f>VLOOKUP(I81,'Program Codes'!C:D,2,FALSE)</f>
        <v>07</v>
      </c>
      <c r="I81" s="175" t="s">
        <v>1000</v>
      </c>
      <c r="J81" s="175" t="s">
        <v>998</v>
      </c>
      <c r="K81" s="175" t="s">
        <v>999</v>
      </c>
      <c r="L81" s="175" t="s">
        <v>1509</v>
      </c>
      <c r="M81" s="188">
        <v>43282</v>
      </c>
      <c r="N81" s="182">
        <v>44742</v>
      </c>
      <c r="O81" s="204">
        <v>46.417000000000002</v>
      </c>
      <c r="P81" s="205">
        <v>97.323999999999998</v>
      </c>
      <c r="Q81" s="174">
        <f t="shared" si="5"/>
        <v>143.74099999999999</v>
      </c>
      <c r="R81" s="189">
        <v>44.5</v>
      </c>
      <c r="S81" s="190">
        <f>SUMIFS(MasterTable[Arrears + All Contractual Commitments (value next FY)],MasterTable[[Project Code and Name ]],PAProjects[[#This Row],[LINKING_CODE]],MasterTable[Funding Source],"GoU Funded")/10^9</f>
        <v>262.7</v>
      </c>
      <c r="T81" s="190">
        <f>SUMIFS(MasterTable[Arrears + All Contractual Commitments (value next FY)],MasterTable[[Project Code and Name ]],PAProjects[[#This Row],[LINKING_CODE]],MasterTable[Funding Source],"External Financing")/10^9</f>
        <v>0</v>
      </c>
      <c r="U81" s="202">
        <f>PAProjects[[#This Row],[GOU 21/22]]+PAProjects[[#This Row],[DONOR 21/22]]</f>
        <v>262.7</v>
      </c>
      <c r="V81" s="192">
        <f>SUMIFS(MasterTable[FY1 (FY22-23)],MasterTable[[Project Code and Name ]],PAProjects[[#This Row],[LINKING_CODE]],MasterTable[Funding Source],"GoU Funded")/10^9</f>
        <v>0</v>
      </c>
      <c r="W81" s="193">
        <f>SUMIFS(MasterTable[FY1 (FY22-23)],MasterTable[[Project Code and Name ]],PAProjects[[#This Row],[LINKING_CODE]],MasterTable[Funding Source],"External Financing")/10^9</f>
        <v>0</v>
      </c>
      <c r="X81" s="191">
        <f>PAProjects[[#This Row],[GOU 22/23]]+PAProjects[[#This Row],[DONOR 22/23]]</f>
        <v>0</v>
      </c>
      <c r="Y81" s="193">
        <f>SUMIFS(MasterTable[FY2 (FY23-24)],MasterTable[[Project Code and Name ]],PAProjects[[#This Row],[LINKING_CODE]],MasterTable[Funding Source],"GoU Funded")/10^9</f>
        <v>0</v>
      </c>
      <c r="Z81" s="193">
        <f>SUMIFS(MasterTable[FY2 (FY23-24)],MasterTable[[Project Code and Name ]],PAProjects[[#This Row],[LINKING_CODE]],MasterTable[Funding Source],"External Financing")/10^9</f>
        <v>0</v>
      </c>
      <c r="AA81" s="175">
        <f>SUM(Y81:Z81)</f>
        <v>0</v>
      </c>
      <c r="AB81" s="193">
        <f>SUMIFS(MasterTable[FY3 (FY24-25)],MasterTable[[Project Code and Name ]],PAProjects[[#This Row],[LINKING_CODE]],MasterTable[Funding Source],"GoU Funded")/10^9</f>
        <v>0</v>
      </c>
      <c r="AC81" s="193">
        <f>SUMIFS(MasterTable[FY3 (FY24-25)],MasterTable[[Project Code and Name ]],PAProjects[[#This Row],[LINKING_CODE]],MasterTable[Funding Source],"External Financing")/10^9</f>
        <v>0</v>
      </c>
      <c r="AD81" s="191">
        <f>PAProjects[[#This Row],[GOU 24/25]]+PAProjects[[#This Row],[DONOR 24/25]]</f>
        <v>0</v>
      </c>
    </row>
    <row r="82" spans="1:30" ht="15" customHeight="1" x14ac:dyDescent="0.25">
      <c r="A82" s="180" t="s">
        <v>987</v>
      </c>
      <c r="B82" s="175" t="s">
        <v>437</v>
      </c>
      <c r="C82" s="175" t="e">
        <f ca="1">PAProjects[[#This Row],[LINKING_CODE]]=_xlfn.CONCAT(PAProjects[[#This Row],[Project Code]]," ",PAProjects[[#This Row],[Project Name]])</f>
        <v>#NAME?</v>
      </c>
      <c r="D82" s="175" t="str">
        <f>VLOOKUP(PAProjects[[#This Row],[LINKING_CODE]],MasterTable[[Project Code and Name ]],1,FALSE)</f>
        <v>1512 Uganda National Airline Project</v>
      </c>
      <c r="E82" s="175" t="s">
        <v>515</v>
      </c>
      <c r="F82" s="175" t="s">
        <v>944</v>
      </c>
      <c r="G82" s="175" t="s">
        <v>99</v>
      </c>
      <c r="H82" s="175" t="str">
        <f>VLOOKUP(I82,'Program Codes'!C:D,2,FALSE)</f>
        <v>08</v>
      </c>
      <c r="I82" s="175" t="s">
        <v>1007</v>
      </c>
      <c r="J82" s="175" t="s">
        <v>1016</v>
      </c>
      <c r="K82" s="175" t="s">
        <v>1017</v>
      </c>
      <c r="L82" s="175" t="s">
        <v>1509</v>
      </c>
      <c r="M82" s="188">
        <v>43282</v>
      </c>
      <c r="N82" s="182">
        <v>45107</v>
      </c>
      <c r="O82" s="183">
        <v>259.14</v>
      </c>
      <c r="P82" s="184">
        <v>1180.9380000000001</v>
      </c>
      <c r="Q82" s="174">
        <f t="shared" si="5"/>
        <v>1440.078</v>
      </c>
      <c r="R82" s="189">
        <v>0</v>
      </c>
      <c r="S82" s="190">
        <f>SUMIFS(MasterTable[Arrears + All Contractual Commitments (value next FY)],MasterTable[[Project Code and Name ]],PAProjects[[#This Row],[LINKING_CODE]],MasterTable[Funding Source],"GoU Funded")/10^9</f>
        <v>142.73699999999999</v>
      </c>
      <c r="T82" s="190">
        <f>SUMIFS(MasterTable[Arrears + All Contractual Commitments (value next FY)],MasterTable[[Project Code and Name ]],PAProjects[[#This Row],[LINKING_CODE]],MasterTable[Funding Source],"External Financing")/10^9</f>
        <v>0</v>
      </c>
      <c r="U82" s="191">
        <f>PAProjects[[#This Row],[GOU 21/22]]+PAProjects[[#This Row],[DONOR 21/22]]</f>
        <v>142.73699999999999</v>
      </c>
      <c r="V82" s="192">
        <f>SUMIFS(MasterTable[FY1 (FY22-23)],MasterTable[[Project Code and Name ]],PAProjects[[#This Row],[LINKING_CODE]],MasterTable[Funding Source],"GoU Funded")/10^9</f>
        <v>19</v>
      </c>
      <c r="W82" s="193">
        <f>SUMIFS(MasterTable[FY1 (FY22-23)],MasterTable[[Project Code and Name ]],PAProjects[[#This Row],[LINKING_CODE]],MasterTable[Funding Source],"External Financing")/10^9</f>
        <v>0</v>
      </c>
      <c r="X82" s="196">
        <f>PAProjects[[#This Row],[GOU 22/23]]+PAProjects[[#This Row],[DONOR 22/23]]</f>
        <v>19</v>
      </c>
      <c r="Y82" s="193">
        <f>SUMIFS(MasterTable[FY2 (FY23-24)],MasterTable[[Project Code and Name ]],PAProjects[[#This Row],[LINKING_CODE]],MasterTable[Funding Source],"GoU Funded")/10^9</f>
        <v>0</v>
      </c>
      <c r="Z82" s="193">
        <f>SUMIFS(MasterTable[FY2 (FY23-24)],MasterTable[[Project Code and Name ]],PAProjects[[#This Row],[LINKING_CODE]],MasterTable[Funding Source],"External Financing")/10^9</f>
        <v>0</v>
      </c>
      <c r="AA82" s="175">
        <f>Y82+Z82</f>
        <v>0</v>
      </c>
      <c r="AB82" s="193">
        <f>SUMIFS(MasterTable[FY3 (FY24-25)],MasterTable[[Project Code and Name ]],PAProjects[[#This Row],[LINKING_CODE]],MasterTable[Funding Source],"GoU Funded")/10^9</f>
        <v>0</v>
      </c>
      <c r="AC82" s="193">
        <f>SUMIFS(MasterTable[FY3 (FY24-25)],MasterTable[[Project Code and Name ]],PAProjects[[#This Row],[LINKING_CODE]],MasterTable[Funding Source],"External Financing")/10^9</f>
        <v>0</v>
      </c>
      <c r="AD82" s="191">
        <f>PAProjects[[#This Row],[GOU 24/25]]+PAProjects[[#This Row],[DONOR 24/25]]</f>
        <v>0</v>
      </c>
    </row>
    <row r="83" spans="1:30" ht="15" customHeight="1" x14ac:dyDescent="0.25">
      <c r="A83" s="180" t="s">
        <v>989</v>
      </c>
      <c r="B83" s="175" t="s">
        <v>365</v>
      </c>
      <c r="C83" s="175" t="e">
        <f ca="1">PAProjects[[#This Row],[LINKING_CODE]]=_xlfn.CONCAT(PAProjects[[#This Row],[Project Code]]," ",PAProjects[[#This Row],[Project Name]])</f>
        <v>#NAME?</v>
      </c>
      <c r="D83" s="175" t="str">
        <f>VLOOKUP(PAProjects[[#This Row],[LINKING_CODE]],MasterTable[[Project Code and Name ]],1,FALSE)</f>
        <v>1513 National Science, Technology, Engineering and Innovation Skills Enhancement Project</v>
      </c>
      <c r="E83" s="175" t="s">
        <v>537</v>
      </c>
      <c r="F83" s="175" t="s">
        <v>997</v>
      </c>
      <c r="G83" s="175" t="s">
        <v>72</v>
      </c>
      <c r="H83" s="175" t="str">
        <f>VLOOKUP(I83,'Program Codes'!C:D,2,FALSE)</f>
        <v>07</v>
      </c>
      <c r="I83" s="175" t="s">
        <v>1000</v>
      </c>
      <c r="J83" s="175" t="s">
        <v>1002</v>
      </c>
      <c r="K83" s="175" t="s">
        <v>1003</v>
      </c>
      <c r="L83" s="175" t="s">
        <v>1509</v>
      </c>
      <c r="M83" s="188">
        <v>43282</v>
      </c>
      <c r="N83" s="182">
        <v>44742</v>
      </c>
      <c r="O83" s="204">
        <v>114</v>
      </c>
      <c r="P83" s="205">
        <v>332</v>
      </c>
      <c r="Q83" s="174">
        <f t="shared" si="5"/>
        <v>446</v>
      </c>
      <c r="R83" s="189">
        <v>0</v>
      </c>
      <c r="S83" s="190">
        <f>SUMIFS(MasterTable[Arrears + All Contractual Commitments (value next FY)],MasterTable[[Project Code and Name ]],PAProjects[[#This Row],[LINKING_CODE]],MasterTable[Funding Source],"GoU Funded")/10^9</f>
        <v>49.48</v>
      </c>
      <c r="T83" s="190">
        <f>SUMIFS(MasterTable[Arrears + All Contractual Commitments (value next FY)],MasterTable[[Project Code and Name ]],PAProjects[[#This Row],[LINKING_CODE]],MasterTable[Funding Source],"External Financing")/10^9</f>
        <v>137.568815468</v>
      </c>
      <c r="U83" s="202">
        <f>PAProjects[[#This Row],[GOU 21/22]]+PAProjects[[#This Row],[DONOR 21/22]]</f>
        <v>187.04881546799999</v>
      </c>
      <c r="V83" s="192">
        <f>SUMIFS(MasterTable[FY1 (FY22-23)],MasterTable[[Project Code and Name ]],PAProjects[[#This Row],[LINKING_CODE]],MasterTable[Funding Source],"GoU Funded")/10^9</f>
        <v>24.472000000000001</v>
      </c>
      <c r="W83" s="193">
        <f>SUMIFS(MasterTable[FY1 (FY22-23)],MasterTable[[Project Code and Name ]],PAProjects[[#This Row],[LINKING_CODE]],MasterTable[Funding Source],"External Financing")/10^9</f>
        <v>11.319098</v>
      </c>
      <c r="X83" s="191">
        <f>PAProjects[[#This Row],[GOU 22/23]]+PAProjects[[#This Row],[DONOR 22/23]]</f>
        <v>35.791098000000005</v>
      </c>
      <c r="Y83" s="193">
        <f>SUMIFS(MasterTable[FY2 (FY23-24)],MasterTable[[Project Code and Name ]],PAProjects[[#This Row],[LINKING_CODE]],MasterTable[Funding Source],"GoU Funded")/10^9</f>
        <v>17.218</v>
      </c>
      <c r="Z83" s="193">
        <f>SUMIFS(MasterTable[FY2 (FY23-24)],MasterTable[[Project Code and Name ]],PAProjects[[#This Row],[LINKING_CODE]],MasterTable[Funding Source],"External Financing")/10^9</f>
        <v>2.1778749999999998</v>
      </c>
      <c r="AA83" s="175">
        <f>SUM(Y83:Z83)</f>
        <v>19.395875</v>
      </c>
      <c r="AB83" s="193">
        <f>SUMIFS(MasterTable[FY3 (FY24-25)],MasterTable[[Project Code and Name ]],PAProjects[[#This Row],[LINKING_CODE]],MasterTable[Funding Source],"GoU Funded")/10^9</f>
        <v>0</v>
      </c>
      <c r="AC83" s="193">
        <f>SUMIFS(MasterTable[FY3 (FY24-25)],MasterTable[[Project Code and Name ]],PAProjects[[#This Row],[LINKING_CODE]],MasterTable[Funding Source],"External Financing")/10^9</f>
        <v>0</v>
      </c>
      <c r="AD83" s="191">
        <f>PAProjects[[#This Row],[GOU 24/25]]+PAProjects[[#This Row],[DONOR 24/25]]</f>
        <v>0</v>
      </c>
    </row>
    <row r="84" spans="1:30" ht="15" customHeight="1" x14ac:dyDescent="0.25">
      <c r="A84" s="180" t="s">
        <v>991</v>
      </c>
      <c r="B84" s="175" t="s">
        <v>348</v>
      </c>
      <c r="C84" s="175" t="e">
        <f ca="1">PAProjects[[#This Row],[LINKING_CODE]]=_xlfn.CONCAT(PAProjects[[#This Row],[Project Code]]," ",PAProjects[[#This Row],[Project Name]])</f>
        <v>#NAME?</v>
      </c>
      <c r="D84" s="175" t="str">
        <f>VLOOKUP(PAProjects[[#This Row],[LINKING_CODE]],MasterTable[[Project Code and Name ]],1,FALSE)</f>
        <v>1514 Uganda Support to Municipal Infrastructure Development (USMID II)</v>
      </c>
      <c r="E84" s="175" t="s">
        <v>512</v>
      </c>
      <c r="F84" s="175" t="s">
        <v>1105</v>
      </c>
      <c r="G84" s="175" t="s">
        <v>1106</v>
      </c>
      <c r="H84" s="175" t="str">
        <f>VLOOKUP(I84,'Program Codes'!C:D,2,FALSE)</f>
        <v>16</v>
      </c>
      <c r="I84" s="175" t="s">
        <v>1493</v>
      </c>
      <c r="J84" s="175" t="s">
        <v>1264</v>
      </c>
      <c r="K84" s="175" t="s">
        <v>555</v>
      </c>
      <c r="L84" s="175" t="s">
        <v>1509</v>
      </c>
      <c r="M84" s="201">
        <v>43107</v>
      </c>
      <c r="N84" s="201">
        <v>45107</v>
      </c>
      <c r="O84" s="185"/>
      <c r="P84" s="185">
        <v>1345.32</v>
      </c>
      <c r="Q84" s="174">
        <f t="shared" si="5"/>
        <v>1345.32</v>
      </c>
      <c r="R84" s="189">
        <v>0</v>
      </c>
      <c r="S84" s="190">
        <f>SUMIFS(MasterTable[Arrears + All Contractual Commitments (value next FY)],MasterTable[[Project Code and Name ]],PAProjects[[#This Row],[LINKING_CODE]],MasterTable[Funding Source],"GoU Funded")/10^9</f>
        <v>0</v>
      </c>
      <c r="T84" s="190">
        <f>SUMIFS(MasterTable[Arrears + All Contractual Commitments (value next FY)],MasterTable[[Project Code and Name ]],PAProjects[[#This Row],[LINKING_CODE]],MasterTable[Funding Source],"External Financing")/10^9</f>
        <v>61.884</v>
      </c>
      <c r="U84" s="191">
        <f>PAProjects[[#This Row],[GOU 21/22]]+PAProjects[[#This Row],[DONOR 21/22]]</f>
        <v>61.884</v>
      </c>
      <c r="V84" s="192">
        <f>SUMIFS(MasterTable[FY1 (FY22-23)],MasterTable[[Project Code and Name ]],PAProjects[[#This Row],[LINKING_CODE]],MasterTable[Funding Source],"GoU Funded")/10^9</f>
        <v>0</v>
      </c>
      <c r="W84" s="193">
        <f>SUMIFS(MasterTable[FY1 (FY22-23)],MasterTable[[Project Code and Name ]],PAProjects[[#This Row],[LINKING_CODE]],MasterTable[Funding Source],"External Financing")/10^9</f>
        <v>82.01</v>
      </c>
      <c r="X84" s="191">
        <f>PAProjects[[#This Row],[GOU 22/23]]+PAProjects[[#This Row],[DONOR 22/23]]</f>
        <v>82.01</v>
      </c>
      <c r="Y84" s="193">
        <f>SUMIFS(MasterTable[FY2 (FY23-24)],MasterTable[[Project Code and Name ]],PAProjects[[#This Row],[LINKING_CODE]],MasterTable[Funding Source],"GoU Funded")/10^9</f>
        <v>0</v>
      </c>
      <c r="Z84" s="193">
        <f>SUMIFS(MasterTable[FY2 (FY23-24)],MasterTable[[Project Code and Name ]],PAProjects[[#This Row],[LINKING_CODE]],MasterTable[Funding Source],"External Financing")/10^9</f>
        <v>0</v>
      </c>
      <c r="AA84" s="175">
        <f t="shared" ref="AA84:AA105" si="7">Y84+Z84</f>
        <v>0</v>
      </c>
      <c r="AB84" s="193">
        <f>SUMIFS(MasterTable[FY3 (FY24-25)],MasterTable[[Project Code and Name ]],PAProjects[[#This Row],[LINKING_CODE]],MasterTable[Funding Source],"GoU Funded")/10^9</f>
        <v>0</v>
      </c>
      <c r="AC84" s="193">
        <f>SUMIFS(MasterTable[FY3 (FY24-25)],MasterTable[[Project Code and Name ]],PAProjects[[#This Row],[LINKING_CODE]],MasterTable[Funding Source],"External Financing")/10^9</f>
        <v>0</v>
      </c>
      <c r="AD84" s="191">
        <f>PAProjects[[#This Row],[GOU 24/25]]+PAProjects[[#This Row],[DONOR 24/25]]</f>
        <v>0</v>
      </c>
    </row>
    <row r="85" spans="1:30" ht="15" customHeight="1" x14ac:dyDescent="0.25">
      <c r="A85" s="180" t="s">
        <v>993</v>
      </c>
      <c r="B85" s="175" t="s">
        <v>476</v>
      </c>
      <c r="C85" s="175" t="e">
        <f ca="1">PAProjects[[#This Row],[LINKING_CODE]]=_xlfn.CONCAT(PAProjects[[#This Row],[Project Code]]," ",PAProjects[[#This Row],[Project Name]])</f>
        <v>#NAME?</v>
      </c>
      <c r="D85" s="175" t="str">
        <f>VLOOKUP(PAProjects[[#This Row],[LINKING_CODE]],MasterTable[[Project Code and Name ]],1,FALSE)</f>
        <v>1517 Bridging the demand gap through the accelerated rural electrification Programme (TBEA)</v>
      </c>
      <c r="E85" s="175" t="s">
        <v>513</v>
      </c>
      <c r="F85" s="175" t="s">
        <v>1089</v>
      </c>
      <c r="G85" s="175" t="s">
        <v>123</v>
      </c>
      <c r="H85" s="175" t="str">
        <f>VLOOKUP(I85,'Program Codes'!C:D,2,FALSE)</f>
        <v>15</v>
      </c>
      <c r="I85" s="175" t="s">
        <v>1251</v>
      </c>
      <c r="J85" s="175" t="s">
        <v>1262</v>
      </c>
      <c r="K85" s="175" t="s">
        <v>574</v>
      </c>
      <c r="L85" s="175" t="s">
        <v>1509</v>
      </c>
      <c r="M85" s="182">
        <v>43282</v>
      </c>
      <c r="N85" s="182">
        <v>44742</v>
      </c>
      <c r="O85" s="198">
        <v>48.281999999999996</v>
      </c>
      <c r="P85" s="199">
        <v>789.96799999999996</v>
      </c>
      <c r="Q85" s="174">
        <f t="shared" si="5"/>
        <v>838.25</v>
      </c>
      <c r="R85" s="189">
        <v>0</v>
      </c>
      <c r="S85" s="190">
        <f>SUMIFS(MasterTable[Arrears + All Contractual Commitments (value next FY)],MasterTable[[Project Code and Name ]],PAProjects[[#This Row],[LINKING_CODE]],MasterTable[Funding Source],"GoU Funded")/10^9</f>
        <v>10</v>
      </c>
      <c r="T85" s="190">
        <f>SUMIFS(MasterTable[Arrears + All Contractual Commitments (value next FY)],MasterTable[[Project Code and Name ]],PAProjects[[#This Row],[LINKING_CODE]],MasterTable[Funding Source],"External Financing")/10^9</f>
        <v>245.786</v>
      </c>
      <c r="U85" s="191">
        <f>PAProjects[[#This Row],[GOU 21/22]]+PAProjects[[#This Row],[DONOR 21/22]]</f>
        <v>255.786</v>
      </c>
      <c r="V85" s="192">
        <f>SUMIFS(MasterTable[FY1 (FY22-23)],MasterTable[[Project Code and Name ]],PAProjects[[#This Row],[LINKING_CODE]],MasterTable[Funding Source],"GoU Funded")/10^9</f>
        <v>0</v>
      </c>
      <c r="W85" s="193">
        <f>SUMIFS(MasterTable[FY1 (FY22-23)],MasterTable[[Project Code and Name ]],PAProjects[[#This Row],[LINKING_CODE]],MasterTable[Funding Source],"External Financing")/10^9</f>
        <v>0</v>
      </c>
      <c r="X85" s="191">
        <f>PAProjects[[#This Row],[GOU 22/23]]+PAProjects[[#This Row],[DONOR 22/23]]</f>
        <v>0</v>
      </c>
      <c r="Y85" s="193">
        <f>SUMIFS(MasterTable[FY2 (FY23-24)],MasterTable[[Project Code and Name ]],PAProjects[[#This Row],[LINKING_CODE]],MasterTable[Funding Source],"GoU Funded")/10^9</f>
        <v>0</v>
      </c>
      <c r="Z85" s="193">
        <f>SUMIFS(MasterTable[FY2 (FY23-24)],MasterTable[[Project Code and Name ]],PAProjects[[#This Row],[LINKING_CODE]],MasterTable[Funding Source],"External Financing")/10^9</f>
        <v>0</v>
      </c>
      <c r="AA85" s="175">
        <f t="shared" si="7"/>
        <v>0</v>
      </c>
      <c r="AB85" s="193">
        <f>SUMIFS(MasterTable[FY3 (FY24-25)],MasterTable[[Project Code and Name ]],PAProjects[[#This Row],[LINKING_CODE]],MasterTable[Funding Source],"GoU Funded")/10^9</f>
        <v>0</v>
      </c>
      <c r="AC85" s="193">
        <f>SUMIFS(MasterTable[FY3 (FY24-25)],MasterTable[[Project Code and Name ]],PAProjects[[#This Row],[LINKING_CODE]],MasterTable[Funding Source],"External Financing")/10^9</f>
        <v>0</v>
      </c>
      <c r="AD85" s="191">
        <f>PAProjects[[#This Row],[GOU 24/25]]+PAProjects[[#This Row],[DONOR 24/25]]</f>
        <v>0</v>
      </c>
    </row>
    <row r="86" spans="1:30" ht="15" customHeight="1" x14ac:dyDescent="0.25">
      <c r="A86" s="180" t="s">
        <v>996</v>
      </c>
      <c r="B86" s="175" t="s">
        <v>477</v>
      </c>
      <c r="C86" s="175" t="e">
        <f ca="1">PAProjects[[#This Row],[LINKING_CODE]]=_xlfn.CONCAT(PAProjects[[#This Row],[Project Code]]," ",PAProjects[[#This Row],[Project Name]])</f>
        <v>#NAME?</v>
      </c>
      <c r="D86" s="175" t="str">
        <f>VLOOKUP(PAProjects[[#This Row],[LINKING_CODE]],MasterTable[[Project Code and Name ]],1,FALSE)</f>
        <v>1518 Uganda Rural Electrification Access Project (UREAP)</v>
      </c>
      <c r="E86" s="175" t="s">
        <v>513</v>
      </c>
      <c r="F86" s="175" t="s">
        <v>1089</v>
      </c>
      <c r="G86" s="175" t="s">
        <v>123</v>
      </c>
      <c r="H86" s="175" t="str">
        <f>VLOOKUP(I86,'Program Codes'!C:D,2,FALSE)</f>
        <v>15</v>
      </c>
      <c r="I86" s="175" t="s">
        <v>1251</v>
      </c>
      <c r="J86" s="175" t="s">
        <v>1263</v>
      </c>
      <c r="K86" s="175" t="s">
        <v>576</v>
      </c>
      <c r="L86" s="175" t="s">
        <v>1509</v>
      </c>
      <c r="M86" s="182">
        <v>43282</v>
      </c>
      <c r="N86" s="182">
        <v>44742</v>
      </c>
      <c r="O86" s="198">
        <v>27</v>
      </c>
      <c r="P86" s="199">
        <v>330.77</v>
      </c>
      <c r="Q86" s="174">
        <f t="shared" si="5"/>
        <v>357.77</v>
      </c>
      <c r="R86" s="189">
        <v>0</v>
      </c>
      <c r="S86" s="190">
        <f>SUMIFS(MasterTable[Arrears + All Contractual Commitments (value next FY)],MasterTable[[Project Code and Name ]],PAProjects[[#This Row],[LINKING_CODE]],MasterTable[Funding Source],"GoU Funded")/10^9</f>
        <v>0</v>
      </c>
      <c r="T86" s="190">
        <f>SUMIFS(MasterTable[Arrears + All Contractual Commitments (value next FY)],MasterTable[[Project Code and Name ]],PAProjects[[#This Row],[LINKING_CODE]],MasterTable[Funding Source],"External Financing")/10^9</f>
        <v>144.58099999999999</v>
      </c>
      <c r="U86" s="191">
        <f>PAProjects[[#This Row],[GOU 21/22]]+PAProjects[[#This Row],[DONOR 21/22]]</f>
        <v>144.58099999999999</v>
      </c>
      <c r="V86" s="192">
        <f>SUMIFS(MasterTable[FY1 (FY22-23)],MasterTable[[Project Code and Name ]],PAProjects[[#This Row],[LINKING_CODE]],MasterTable[Funding Source],"GoU Funded")/10^9</f>
        <v>0</v>
      </c>
      <c r="W86" s="193">
        <f>SUMIFS(MasterTable[FY1 (FY22-23)],MasterTable[[Project Code and Name ]],PAProjects[[#This Row],[LINKING_CODE]],MasterTable[Funding Source],"External Financing")/10^9</f>
        <v>0</v>
      </c>
      <c r="X86" s="191">
        <f>PAProjects[[#This Row],[GOU 22/23]]+PAProjects[[#This Row],[DONOR 22/23]]</f>
        <v>0</v>
      </c>
      <c r="Y86" s="193">
        <f>SUMIFS(MasterTable[FY2 (FY23-24)],MasterTable[[Project Code and Name ]],PAProjects[[#This Row],[LINKING_CODE]],MasterTable[Funding Source],"GoU Funded")/10^9</f>
        <v>0</v>
      </c>
      <c r="Z86" s="193">
        <f>SUMIFS(MasterTable[FY2 (FY23-24)],MasterTable[[Project Code and Name ]],PAProjects[[#This Row],[LINKING_CODE]],MasterTable[Funding Source],"External Financing")/10^9</f>
        <v>0</v>
      </c>
      <c r="AA86" s="175">
        <f t="shared" si="7"/>
        <v>0</v>
      </c>
      <c r="AB86" s="193">
        <f>SUMIFS(MasterTable[FY3 (FY24-25)],MasterTable[[Project Code and Name ]],PAProjects[[#This Row],[LINKING_CODE]],MasterTable[Funding Source],"GoU Funded")/10^9</f>
        <v>0</v>
      </c>
      <c r="AC86" s="193">
        <f>SUMIFS(MasterTable[FY3 (FY24-25)],MasterTable[[Project Code and Name ]],PAProjects[[#This Row],[LINKING_CODE]],MasterTable[Funding Source],"External Financing")/10^9</f>
        <v>0</v>
      </c>
      <c r="AD86" s="191">
        <f>PAProjects[[#This Row],[GOU 24/25]]+PAProjects[[#This Row],[DONOR 24/25]]</f>
        <v>0</v>
      </c>
    </row>
    <row r="87" spans="1:30" ht="15" customHeight="1" x14ac:dyDescent="0.25">
      <c r="A87" s="180" t="s">
        <v>1001</v>
      </c>
      <c r="B87" s="175" t="s">
        <v>93</v>
      </c>
      <c r="C87" s="175" t="e">
        <f ca="1">PAProjects[[#This Row],[LINKING_CODE]]=_xlfn.CONCAT(PAProjects[[#This Row],[Project Code]]," ",PAProjects[[#This Row],[Project Name]])</f>
        <v>#NAME?</v>
      </c>
      <c r="D87" s="175" t="str">
        <f>VLOOKUP(PAProjects[[#This Row],[LINKING_CODE]],MasterTable[[Project Code and Name ]],1,FALSE)</f>
        <v>1519 Strengthening Capacity of Regional Referral Hospitals-DRIVE</v>
      </c>
      <c r="E87" s="175" t="s">
        <v>520</v>
      </c>
      <c r="F87" s="175" t="s">
        <v>975</v>
      </c>
      <c r="G87" s="175" t="s">
        <v>97</v>
      </c>
      <c r="H87" s="175" t="str">
        <f>VLOOKUP(I87,'Program Codes'!C:D,2,FALSE)</f>
        <v>06</v>
      </c>
      <c r="I87" s="175" t="s">
        <v>962</v>
      </c>
      <c r="J87" s="175" t="s">
        <v>710</v>
      </c>
      <c r="K87" s="175" t="s">
        <v>1290</v>
      </c>
      <c r="L87" s="175" t="s">
        <v>1509</v>
      </c>
      <c r="M87" s="182">
        <v>43282</v>
      </c>
      <c r="N87" s="182">
        <v>45838</v>
      </c>
      <c r="O87" s="183"/>
      <c r="P87" s="184">
        <v>193.5</v>
      </c>
      <c r="Q87" s="174">
        <f t="shared" si="5"/>
        <v>193.5</v>
      </c>
      <c r="R87" s="189">
        <v>0</v>
      </c>
      <c r="S87" s="190">
        <f>SUMIFS(MasterTable[Arrears + All Contractual Commitments (value next FY)],MasterTable[[Project Code and Name ]],PAProjects[[#This Row],[LINKING_CODE]],MasterTable[Funding Source],"GoU Funded")/10^9</f>
        <v>1</v>
      </c>
      <c r="T87" s="190">
        <f>SUMIFS(MasterTable[Arrears + All Contractual Commitments (value next FY)],MasterTable[[Project Code and Name ]],PAProjects[[#This Row],[LINKING_CODE]],MasterTable[Funding Source],"External Financing")/10^9</f>
        <v>0</v>
      </c>
      <c r="U87" s="191">
        <f>PAProjects[[#This Row],[GOU 21/22]]+PAProjects[[#This Row],[DONOR 21/22]]</f>
        <v>1</v>
      </c>
      <c r="V87" s="192">
        <f>SUMIFS(MasterTable[FY1 (FY22-23)],MasterTable[[Project Code and Name ]],PAProjects[[#This Row],[LINKING_CODE]],MasterTable[Funding Source],"GoU Funded")/10^9</f>
        <v>0</v>
      </c>
      <c r="W87" s="193">
        <f>SUMIFS(MasterTable[FY1 (FY22-23)],MasterTable[[Project Code and Name ]],PAProjects[[#This Row],[LINKING_CODE]],MasterTable[Funding Source],"External Financing")/10^9</f>
        <v>0</v>
      </c>
      <c r="X87" s="191">
        <f>PAProjects[[#This Row],[GOU 22/23]]+PAProjects[[#This Row],[DONOR 22/23]]</f>
        <v>0</v>
      </c>
      <c r="Y87" s="193">
        <f>SUMIFS(MasterTable[FY2 (FY23-24)],MasterTable[[Project Code and Name ]],PAProjects[[#This Row],[LINKING_CODE]],MasterTable[Funding Source],"GoU Funded")/10^9</f>
        <v>0</v>
      </c>
      <c r="Z87" s="193">
        <f>SUMIFS(MasterTable[FY2 (FY23-24)],MasterTable[[Project Code and Name ]],PAProjects[[#This Row],[LINKING_CODE]],MasterTable[Funding Source],"External Financing")/10^9</f>
        <v>0</v>
      </c>
      <c r="AA87" s="175">
        <f t="shared" si="7"/>
        <v>0</v>
      </c>
      <c r="AB87" s="193">
        <f>SUMIFS(MasterTable[FY3 (FY24-25)],MasterTable[[Project Code and Name ]],PAProjects[[#This Row],[LINKING_CODE]],MasterTable[Funding Source],"GoU Funded")/10^9</f>
        <v>0</v>
      </c>
      <c r="AC87" s="193">
        <f>SUMIFS(MasterTable[FY3 (FY24-25)],MasterTable[[Project Code and Name ]],PAProjects[[#This Row],[LINKING_CODE]],MasterTable[Funding Source],"External Financing")/10^9</f>
        <v>0</v>
      </c>
      <c r="AD87" s="202">
        <f>PAProjects[[#This Row],[GOU 24/25]]+PAProjects[[#This Row],[DONOR 24/25]]</f>
        <v>0</v>
      </c>
    </row>
    <row r="88" spans="1:30" ht="15" customHeight="1" x14ac:dyDescent="0.25">
      <c r="A88" s="180" t="s">
        <v>1004</v>
      </c>
      <c r="B88" s="175" t="s">
        <v>350</v>
      </c>
      <c r="C88" s="175" t="e">
        <f ca="1">PAProjects[[#This Row],[LINKING_CODE]]=_xlfn.CONCAT(PAProjects[[#This Row],[Project Code]]," ",PAProjects[[#This Row],[Project Name]])</f>
        <v>#NAME?</v>
      </c>
      <c r="D88" s="175" t="str">
        <f>VLOOKUP(PAProjects[[#This Row],[LINKING_CODE]],MasterTable[[Project Code and Name ]],1,FALSE)</f>
        <v>1528 Hoima Oil Refinery Proximity Development Master Plan</v>
      </c>
      <c r="E88" s="175" t="s">
        <v>512</v>
      </c>
      <c r="F88" s="175" t="s">
        <v>1105</v>
      </c>
      <c r="G88" s="175" t="s">
        <v>1106</v>
      </c>
      <c r="H88" s="175" t="str">
        <f>VLOOKUP(I88,'Program Codes'!C:D,2,FALSE)</f>
        <v>16</v>
      </c>
      <c r="I88" s="175" t="s">
        <v>1493</v>
      </c>
      <c r="J88" s="203" t="s">
        <v>1265</v>
      </c>
      <c r="K88" s="175" t="s">
        <v>556</v>
      </c>
      <c r="L88" s="175" t="s">
        <v>1509</v>
      </c>
      <c r="M88" s="201">
        <v>43472</v>
      </c>
      <c r="N88" s="201">
        <v>45473</v>
      </c>
      <c r="O88" s="174">
        <v>21.5</v>
      </c>
      <c r="P88" s="174"/>
      <c r="Q88" s="174">
        <f t="shared" si="5"/>
        <v>21.5</v>
      </c>
      <c r="R88" s="189">
        <v>0</v>
      </c>
      <c r="S88" s="190">
        <f>SUMIFS(MasterTable[Arrears + All Contractual Commitments (value next FY)],MasterTable[[Project Code and Name ]],PAProjects[[#This Row],[LINKING_CODE]],MasterTable[Funding Source],"GoU Funded")/10^9</f>
        <v>2.9</v>
      </c>
      <c r="T88" s="190">
        <f>SUMIFS(MasterTable[Arrears + All Contractual Commitments (value next FY)],MasterTable[[Project Code and Name ]],PAProjects[[#This Row],[LINKING_CODE]],MasterTable[Funding Source],"External Financing")/10^9</f>
        <v>0</v>
      </c>
      <c r="U88" s="191">
        <f>PAProjects[[#This Row],[GOU 21/22]]+PAProjects[[#This Row],[DONOR 21/22]]</f>
        <v>2.9</v>
      </c>
      <c r="V88" s="192">
        <f>SUMIFS(MasterTable[FY1 (FY22-23)],MasterTable[[Project Code and Name ]],PAProjects[[#This Row],[LINKING_CODE]],MasterTable[Funding Source],"GoU Funded")/10^9</f>
        <v>3.48</v>
      </c>
      <c r="W88" s="193">
        <f>SUMIFS(MasterTable[FY1 (FY22-23)],MasterTable[[Project Code and Name ]],PAProjects[[#This Row],[LINKING_CODE]],MasterTable[Funding Source],"External Financing")/10^9</f>
        <v>0</v>
      </c>
      <c r="X88" s="191">
        <f>PAProjects[[#This Row],[GOU 22/23]]+PAProjects[[#This Row],[DONOR 22/23]]</f>
        <v>3.48</v>
      </c>
      <c r="Y88" s="193">
        <f>SUMIFS(MasterTable[FY2 (FY23-24)],MasterTable[[Project Code and Name ]],PAProjects[[#This Row],[LINKING_CODE]],MasterTable[Funding Source],"GoU Funded")/10^9</f>
        <v>0</v>
      </c>
      <c r="Z88" s="193">
        <f>SUMIFS(MasterTable[FY2 (FY23-24)],MasterTable[[Project Code and Name ]],PAProjects[[#This Row],[LINKING_CODE]],MasterTable[Funding Source],"External Financing")/10^9</f>
        <v>0</v>
      </c>
      <c r="AA88" s="175">
        <f t="shared" si="7"/>
        <v>0</v>
      </c>
      <c r="AB88" s="193">
        <f>SUMIFS(MasterTable[FY3 (FY24-25)],MasterTable[[Project Code and Name ]],PAProjects[[#This Row],[LINKING_CODE]],MasterTable[Funding Source],"GoU Funded")/10^9</f>
        <v>0</v>
      </c>
      <c r="AC88" s="193">
        <f>SUMIFS(MasterTable[FY3 (FY24-25)],MasterTable[[Project Code and Name ]],PAProjects[[#This Row],[LINKING_CODE]],MasterTable[Funding Source],"External Financing")/10^9</f>
        <v>0</v>
      </c>
      <c r="AD88" s="191">
        <f>PAProjects[[#This Row],[GOU 24/25]]+PAProjects[[#This Row],[DONOR 24/25]]</f>
        <v>0</v>
      </c>
    </row>
    <row r="89" spans="1:30" ht="15" customHeight="1" x14ac:dyDescent="0.25">
      <c r="A89" s="180" t="s">
        <v>1008</v>
      </c>
      <c r="B89" s="175" t="s">
        <v>409</v>
      </c>
      <c r="C89" s="175" t="e">
        <f ca="1">PAProjects[[#This Row],[LINKING_CODE]]=_xlfn.CONCAT(PAProjects[[#This Row],[Project Code]]," ",PAProjects[[#This Row],[Project Name]])</f>
        <v>#NAME?</v>
      </c>
      <c r="D89" s="175" t="str">
        <f>VLOOKUP(PAProjects[[#This Row],[LINKING_CODE]],MasterTable[[Project Code and Name ]],1,FALSE)</f>
        <v>1536 Upgrading of Kitala-Gerenge Road</v>
      </c>
      <c r="E89" s="175" t="s">
        <v>515</v>
      </c>
      <c r="F89" s="175" t="s">
        <v>944</v>
      </c>
      <c r="G89" s="175" t="s">
        <v>113</v>
      </c>
      <c r="H89" s="175" t="str">
        <f>VLOOKUP(I89,'Program Codes'!C:D,2,FALSE)</f>
        <v>08</v>
      </c>
      <c r="I89" s="175" t="s">
        <v>1007</v>
      </c>
      <c r="J89" s="175" t="s">
        <v>608</v>
      </c>
      <c r="K89" s="175" t="s">
        <v>1070</v>
      </c>
      <c r="L89" s="175" t="s">
        <v>1509</v>
      </c>
      <c r="M89" s="182">
        <v>43472</v>
      </c>
      <c r="N89" s="182">
        <v>45107</v>
      </c>
      <c r="O89" s="183">
        <v>21.152999999999999</v>
      </c>
      <c r="P89" s="174"/>
      <c r="Q89" s="174">
        <f t="shared" si="5"/>
        <v>21.152999999999999</v>
      </c>
      <c r="R89" s="189">
        <v>10.455258122</v>
      </c>
      <c r="S89" s="190">
        <f>SUMIFS(MasterTable[Arrears + All Contractual Commitments (value next FY)],MasterTable[[Project Code and Name ]],PAProjects[[#This Row],[LINKING_CODE]],MasterTable[Funding Source],"GoU Funded")/10^9</f>
        <v>10.455258122</v>
      </c>
      <c r="T89" s="190">
        <f>SUMIFS(MasterTable[Arrears + All Contractual Commitments (value next FY)],MasterTable[[Project Code and Name ]],PAProjects[[#This Row],[LINKING_CODE]],MasterTable[Funding Source],"External Financing")/10^9</f>
        <v>0</v>
      </c>
      <c r="U89" s="191">
        <f>PAProjects[[#This Row],[GOU 21/22]]+PAProjects[[#This Row],[DONOR 21/22]]</f>
        <v>10.455258122</v>
      </c>
      <c r="V89" s="192">
        <f>SUMIFS(MasterTable[FY1 (FY22-23)],MasterTable[[Project Code and Name ]],PAProjects[[#This Row],[LINKING_CODE]],MasterTable[Funding Source],"GoU Funded")/10^9</f>
        <v>0</v>
      </c>
      <c r="W89" s="193">
        <f>SUMIFS(MasterTable[FY1 (FY22-23)],MasterTable[[Project Code and Name ]],PAProjects[[#This Row],[LINKING_CODE]],MasterTable[Funding Source],"External Financing")/10^9</f>
        <v>0</v>
      </c>
      <c r="X89" s="191">
        <f>PAProjects[[#This Row],[GOU 22/23]]+PAProjects[[#This Row],[DONOR 22/23]]</f>
        <v>0</v>
      </c>
      <c r="Y89" s="193">
        <f>SUMIFS(MasterTable[FY2 (FY23-24)],MasterTable[[Project Code and Name ]],PAProjects[[#This Row],[LINKING_CODE]],MasterTable[Funding Source],"GoU Funded")/10^9</f>
        <v>0</v>
      </c>
      <c r="Z89" s="193">
        <f>SUMIFS(MasterTable[FY2 (FY23-24)],MasterTable[[Project Code and Name ]],PAProjects[[#This Row],[LINKING_CODE]],MasterTable[Funding Source],"External Financing")/10^9</f>
        <v>0</v>
      </c>
      <c r="AA89" s="175">
        <f t="shared" si="7"/>
        <v>0</v>
      </c>
      <c r="AB89" s="193">
        <f>SUMIFS(MasterTable[FY3 (FY24-25)],MasterTable[[Project Code and Name ]],PAProjects[[#This Row],[LINKING_CODE]],MasterTable[Funding Source],"GoU Funded")/10^9</f>
        <v>0</v>
      </c>
      <c r="AC89" s="193">
        <f>SUMIFS(MasterTable[FY3 (FY24-25)],MasterTable[[Project Code and Name ]],PAProjects[[#This Row],[LINKING_CODE]],MasterTable[Funding Source],"External Financing")/10^9</f>
        <v>0</v>
      </c>
      <c r="AD89" s="191">
        <f>PAProjects[[#This Row],[GOU 24/25]]+PAProjects[[#This Row],[DONOR 24/25]]</f>
        <v>0</v>
      </c>
    </row>
    <row r="90" spans="1:30" ht="15" customHeight="1" x14ac:dyDescent="0.25">
      <c r="A90" s="180" t="s">
        <v>1011</v>
      </c>
      <c r="B90" s="175" t="s">
        <v>410</v>
      </c>
      <c r="C90" s="175" t="e">
        <f ca="1">PAProjects[[#This Row],[LINKING_CODE]]=_xlfn.CONCAT(PAProjects[[#This Row],[Project Code]]," ",PAProjects[[#This Row],[Project Name]])</f>
        <v>#NAME?</v>
      </c>
      <c r="D90" s="175" t="str">
        <f>VLOOKUP(PAProjects[[#This Row],[LINKING_CODE]],MasterTable[[Project Code and Name ]],1,FALSE)</f>
        <v>1537 Upgrading of Kaya-Yei Road</v>
      </c>
      <c r="E90" s="175" t="s">
        <v>515</v>
      </c>
      <c r="F90" s="175" t="s">
        <v>944</v>
      </c>
      <c r="G90" s="175" t="s">
        <v>113</v>
      </c>
      <c r="H90" s="175" t="str">
        <f>VLOOKUP(I90,'Program Codes'!C:D,2,FALSE)</f>
        <v>08</v>
      </c>
      <c r="I90" s="175" t="s">
        <v>1007</v>
      </c>
      <c r="J90" s="175" t="s">
        <v>612</v>
      </c>
      <c r="K90" s="175" t="s">
        <v>1071</v>
      </c>
      <c r="L90" s="175" t="s">
        <v>1509</v>
      </c>
      <c r="M90" s="182">
        <v>43472</v>
      </c>
      <c r="N90" s="182">
        <v>45473</v>
      </c>
      <c r="O90" s="183">
        <v>50</v>
      </c>
      <c r="P90" s="174"/>
      <c r="Q90" s="174">
        <f t="shared" si="5"/>
        <v>50</v>
      </c>
      <c r="R90" s="189">
        <v>0</v>
      </c>
      <c r="S90" s="190">
        <f>SUMIFS(MasterTable[Arrears + All Contractual Commitments (value next FY)],MasterTable[[Project Code and Name ]],PAProjects[[#This Row],[LINKING_CODE]],MasterTable[Funding Source],"GoU Funded")/10^9</f>
        <v>18</v>
      </c>
      <c r="T90" s="190">
        <f>SUMIFS(MasterTable[Arrears + All Contractual Commitments (value next FY)],MasterTable[[Project Code and Name ]],PAProjects[[#This Row],[LINKING_CODE]],MasterTable[Funding Source],"External Financing")/10^9</f>
        <v>0</v>
      </c>
      <c r="U90" s="191">
        <f>PAProjects[[#This Row],[GOU 21/22]]+PAProjects[[#This Row],[DONOR 21/22]]</f>
        <v>18</v>
      </c>
      <c r="V90" s="192">
        <f>SUMIFS(MasterTable[FY1 (FY22-23)],MasterTable[[Project Code and Name ]],PAProjects[[#This Row],[LINKING_CODE]],MasterTable[Funding Source],"GoU Funded")/10^9</f>
        <v>19.759599999999999</v>
      </c>
      <c r="W90" s="193">
        <f>SUMIFS(MasterTable[FY1 (FY22-23)],MasterTable[[Project Code and Name ]],PAProjects[[#This Row],[LINKING_CODE]],MasterTable[Funding Source],"External Financing")/10^9</f>
        <v>0</v>
      </c>
      <c r="X90" s="191">
        <f>PAProjects[[#This Row],[GOU 22/23]]+PAProjects[[#This Row],[DONOR 22/23]]</f>
        <v>19.759599999999999</v>
      </c>
      <c r="Y90" s="193">
        <f>SUMIFS(MasterTable[FY2 (FY23-24)],MasterTable[[Project Code and Name ]],PAProjects[[#This Row],[LINKING_CODE]],MasterTable[Funding Source],"GoU Funded")/10^9</f>
        <v>1.9877</v>
      </c>
      <c r="Z90" s="193">
        <f>SUMIFS(MasterTable[FY2 (FY23-24)],MasterTable[[Project Code and Name ]],PAProjects[[#This Row],[LINKING_CODE]],MasterTable[Funding Source],"External Financing")/10^9</f>
        <v>0</v>
      </c>
      <c r="AA90" s="194">
        <f t="shared" si="7"/>
        <v>1.9877</v>
      </c>
      <c r="AB90" s="193">
        <f>SUMIFS(MasterTable[FY3 (FY24-25)],MasterTable[[Project Code and Name ]],PAProjects[[#This Row],[LINKING_CODE]],MasterTable[Funding Source],"GoU Funded")/10^9</f>
        <v>0</v>
      </c>
      <c r="AC90" s="193">
        <f>SUMIFS(MasterTable[FY3 (FY24-25)],MasterTable[[Project Code and Name ]],PAProjects[[#This Row],[LINKING_CODE]],MasterTable[Funding Source],"External Financing")/10^9</f>
        <v>0</v>
      </c>
      <c r="AD90" s="191">
        <f>PAProjects[[#This Row],[GOU 24/25]]+PAProjects[[#This Row],[DONOR 24/25]]</f>
        <v>0</v>
      </c>
    </row>
    <row r="91" spans="1:30" ht="15" customHeight="1" x14ac:dyDescent="0.25">
      <c r="A91" s="180" t="s">
        <v>1013</v>
      </c>
      <c r="B91" s="175" t="s">
        <v>85</v>
      </c>
      <c r="C91" s="175" t="e">
        <f ca="1">PAProjects[[#This Row],[LINKING_CODE]]=_xlfn.CONCAT(PAProjects[[#This Row],[Project Code]]," ",PAProjects[[#This Row],[Project Name]])</f>
        <v>#NAME?</v>
      </c>
      <c r="D91" s="175" t="str">
        <f>VLOOKUP(PAProjects[[#This Row],[LINKING_CODE]],MasterTable[[Project Code and Name ]],1,FALSE)</f>
        <v>1539 Italian Support to Health Sector Development Plan- Karamoja Infrastructure Development Project Phase II</v>
      </c>
      <c r="E91" s="175" t="s">
        <v>520</v>
      </c>
      <c r="F91" s="175" t="s">
        <v>975</v>
      </c>
      <c r="G91" s="175" t="s">
        <v>97</v>
      </c>
      <c r="H91" s="175" t="str">
        <f>VLOOKUP(I91,'Program Codes'!C:D,2,FALSE)</f>
        <v>06</v>
      </c>
      <c r="I91" s="175" t="s">
        <v>962</v>
      </c>
      <c r="J91" s="175" t="s">
        <v>977</v>
      </c>
      <c r="K91" s="175" t="s">
        <v>978</v>
      </c>
      <c r="L91" s="175" t="s">
        <v>1509</v>
      </c>
      <c r="M91" s="182">
        <v>43647</v>
      </c>
      <c r="N91" s="182">
        <v>45107</v>
      </c>
      <c r="O91" s="174">
        <v>40</v>
      </c>
      <c r="P91" s="174"/>
      <c r="Q91" s="174">
        <f t="shared" si="5"/>
        <v>40</v>
      </c>
      <c r="R91" s="189">
        <v>0</v>
      </c>
      <c r="S91" s="190">
        <f>SUMIFS(MasterTable[Arrears + All Contractual Commitments (value next FY)],MasterTable[[Project Code and Name ]],PAProjects[[#This Row],[LINKING_CODE]],MasterTable[Funding Source],"GoU Funded")/10^9</f>
        <v>0.36099999999999999</v>
      </c>
      <c r="T91" s="190">
        <f>SUMIFS(MasterTable[Arrears + All Contractual Commitments (value next FY)],MasterTable[[Project Code and Name ]],PAProjects[[#This Row],[LINKING_CODE]],MasterTable[Funding Source],"External Financing")/10^9</f>
        <v>13.298490161</v>
      </c>
      <c r="U91" s="191">
        <f>PAProjects[[#This Row],[GOU 21/22]]+PAProjects[[#This Row],[DONOR 21/22]]</f>
        <v>13.659490161000001</v>
      </c>
      <c r="V91" s="192">
        <f>SUMIFS(MasterTable[FY1 (FY22-23)],MasterTable[[Project Code and Name ]],PAProjects[[#This Row],[LINKING_CODE]],MasterTable[Funding Source],"GoU Funded")/10^9</f>
        <v>4.82</v>
      </c>
      <c r="W91" s="193">
        <f>SUMIFS(MasterTable[FY1 (FY22-23)],MasterTable[[Project Code and Name ]],PAProjects[[#This Row],[LINKING_CODE]],MasterTable[Funding Source],"External Financing")/10^9</f>
        <v>13.298490161</v>
      </c>
      <c r="X91" s="191">
        <f>PAProjects[[#This Row],[GOU 22/23]]+PAProjects[[#This Row],[DONOR 22/23]]</f>
        <v>18.118490161</v>
      </c>
      <c r="Y91" s="193">
        <f>SUMIFS(MasterTable[FY2 (FY23-24)],MasterTable[[Project Code and Name ]],PAProjects[[#This Row],[LINKING_CODE]],MasterTable[Funding Source],"GoU Funded")/10^9</f>
        <v>7.64</v>
      </c>
      <c r="Z91" s="193">
        <f>SUMIFS(MasterTable[FY2 (FY23-24)],MasterTable[[Project Code and Name ]],PAProjects[[#This Row],[LINKING_CODE]],MasterTable[Funding Source],"External Financing")/10^9</f>
        <v>43.212574213000003</v>
      </c>
      <c r="AA91" s="175">
        <f t="shared" si="7"/>
        <v>50.852574213000004</v>
      </c>
      <c r="AB91" s="193">
        <f>SUMIFS(MasterTable[FY3 (FY24-25)],MasterTable[[Project Code and Name ]],PAProjects[[#This Row],[LINKING_CODE]],MasterTable[Funding Source],"GoU Funded")/10^9</f>
        <v>0.36099999999999999</v>
      </c>
      <c r="AC91" s="193">
        <f>SUMIFS(MasterTable[FY3 (FY24-25)],MasterTable[[Project Code and Name ]],PAProjects[[#This Row],[LINKING_CODE]],MasterTable[Funding Source],"External Financing")/10^9</f>
        <v>0</v>
      </c>
      <c r="AD91" s="191">
        <f>PAProjects[[#This Row],[GOU 24/25]]+PAProjects[[#This Row],[DONOR 24/25]]</f>
        <v>0.36099999999999999</v>
      </c>
    </row>
    <row r="92" spans="1:30" ht="15" customHeight="1" x14ac:dyDescent="0.25">
      <c r="A92" s="180" t="s">
        <v>1015</v>
      </c>
      <c r="B92" s="175" t="s">
        <v>461</v>
      </c>
      <c r="C92" s="175" t="e">
        <f ca="1">PAProjects[[#This Row],[LINKING_CODE]]=_xlfn.CONCAT(PAProjects[[#This Row],[Project Code]]," ",PAProjects[[#This Row],[Project Name]])</f>
        <v>#NAME?</v>
      </c>
      <c r="D92" s="175" t="str">
        <f>VLOOKUP(PAProjects[[#This Row],[LINKING_CODE]],MasterTable[[Project Code and Name ]],1,FALSE)</f>
        <v>1540 Development of Secondary Education Phase II</v>
      </c>
      <c r="E92" s="175" t="s">
        <v>519</v>
      </c>
      <c r="F92" s="175" t="s">
        <v>960</v>
      </c>
      <c r="G92" s="175" t="s">
        <v>961</v>
      </c>
      <c r="H92" s="175" t="str">
        <f>VLOOKUP(I92,'Program Codes'!C:D,2,FALSE)</f>
        <v>06</v>
      </c>
      <c r="I92" s="175" t="s">
        <v>962</v>
      </c>
      <c r="J92" s="175" t="s">
        <v>970</v>
      </c>
      <c r="K92" s="175" t="s">
        <v>971</v>
      </c>
      <c r="L92" s="175" t="s">
        <v>1509</v>
      </c>
      <c r="M92" s="182">
        <v>43647</v>
      </c>
      <c r="N92" s="182">
        <v>44742</v>
      </c>
      <c r="O92" s="183">
        <v>50</v>
      </c>
      <c r="P92" s="174"/>
      <c r="Q92" s="174">
        <f t="shared" si="5"/>
        <v>50</v>
      </c>
      <c r="R92" s="189">
        <v>5.2</v>
      </c>
      <c r="S92" s="190">
        <f>SUMIFS(MasterTable[Arrears + All Contractual Commitments (value next FY)],MasterTable[[Project Code and Name ]],PAProjects[[#This Row],[LINKING_CODE]],MasterTable[Funding Source],"GoU Funded")/10^9</f>
        <v>20.07</v>
      </c>
      <c r="T92" s="190">
        <f>SUMIFS(MasterTable[Arrears + All Contractual Commitments (value next FY)],MasterTable[[Project Code and Name ]],PAProjects[[#This Row],[LINKING_CODE]],MasterTable[Funding Source],"External Financing")/10^9</f>
        <v>0</v>
      </c>
      <c r="U92" s="191">
        <f>PAProjects[[#This Row],[GOU 21/22]]+PAProjects[[#This Row],[DONOR 21/22]]</f>
        <v>20.07</v>
      </c>
      <c r="V92" s="192">
        <f>SUMIFS(MasterTable[FY1 (FY22-23)],MasterTable[[Project Code and Name ]],PAProjects[[#This Row],[LINKING_CODE]],MasterTable[Funding Source],"GoU Funded")/10^9</f>
        <v>0</v>
      </c>
      <c r="W92" s="193">
        <f>SUMIFS(MasterTable[FY1 (FY22-23)],MasterTable[[Project Code and Name ]],PAProjects[[#This Row],[LINKING_CODE]],MasterTable[Funding Source],"External Financing")/10^9</f>
        <v>0</v>
      </c>
      <c r="X92" s="191">
        <f>PAProjects[[#This Row],[GOU 22/23]]+PAProjects[[#This Row],[DONOR 22/23]]</f>
        <v>0</v>
      </c>
      <c r="Y92" s="193">
        <f>SUMIFS(MasterTable[FY2 (FY23-24)],MasterTable[[Project Code and Name ]],PAProjects[[#This Row],[LINKING_CODE]],MasterTable[Funding Source],"GoU Funded")/10^9</f>
        <v>0</v>
      </c>
      <c r="Z92" s="193">
        <f>SUMIFS(MasterTable[FY2 (FY23-24)],MasterTable[[Project Code and Name ]],PAProjects[[#This Row],[LINKING_CODE]],MasterTable[Funding Source],"External Financing")/10^9</f>
        <v>0</v>
      </c>
      <c r="AA92" s="175">
        <f t="shared" si="7"/>
        <v>0</v>
      </c>
      <c r="AB92" s="193">
        <f>SUMIFS(MasterTable[FY3 (FY24-25)],MasterTable[[Project Code and Name ]],PAProjects[[#This Row],[LINKING_CODE]],MasterTable[Funding Source],"GoU Funded")/10^9</f>
        <v>0</v>
      </c>
      <c r="AC92" s="193">
        <f>SUMIFS(MasterTable[FY3 (FY24-25)],MasterTable[[Project Code and Name ]],PAProjects[[#This Row],[LINKING_CODE]],MasterTable[Funding Source],"External Financing")/10^9</f>
        <v>0</v>
      </c>
      <c r="AD92" s="191">
        <f>PAProjects[[#This Row],[GOU 24/25]]+PAProjects[[#This Row],[DONOR 24/25]]</f>
        <v>0</v>
      </c>
    </row>
    <row r="93" spans="1:30" ht="15" customHeight="1" x14ac:dyDescent="0.25">
      <c r="A93" s="180" t="s">
        <v>1018</v>
      </c>
      <c r="B93" s="175" t="s">
        <v>62</v>
      </c>
      <c r="C93" s="175" t="e">
        <f ca="1">PAProjects[[#This Row],[LINKING_CODE]]=_xlfn.CONCAT(PAProjects[[#This Row],[Project Code]]," ",PAProjects[[#This Row],[Project Name]])</f>
        <v>#NAME?</v>
      </c>
      <c r="D93" s="175" t="str">
        <f>VLOOKUP(PAProjects[[#This Row],[LINKING_CODE]],MasterTable[[Project Code and Name ]],1,FALSE)</f>
        <v>1542 Airborne Geophysical Survey and Geological Mapping of Karamoja</v>
      </c>
      <c r="E93" s="175" t="s">
        <v>513</v>
      </c>
      <c r="F93" s="175" t="s">
        <v>1089</v>
      </c>
      <c r="G93" s="175" t="s">
        <v>66</v>
      </c>
      <c r="H93" s="175" t="str">
        <f>VLOOKUP(I93,'Program Codes'!C:D,2,FALSE)</f>
        <v>10</v>
      </c>
      <c r="I93" s="175" t="s">
        <v>1093</v>
      </c>
      <c r="J93" s="175" t="s">
        <v>1092</v>
      </c>
      <c r="K93" s="175" t="s">
        <v>566</v>
      </c>
      <c r="L93" s="175" t="s">
        <v>1509</v>
      </c>
      <c r="M93" s="182">
        <v>43647</v>
      </c>
      <c r="N93" s="182">
        <v>45838</v>
      </c>
      <c r="O93" s="174">
        <v>97.340999999999994</v>
      </c>
      <c r="P93" s="174"/>
      <c r="Q93" s="174">
        <f t="shared" si="5"/>
        <v>97.340999999999994</v>
      </c>
      <c r="R93" s="189">
        <v>0</v>
      </c>
      <c r="S93" s="190">
        <f>SUMIFS(MasterTable[Arrears + All Contractual Commitments (value next FY)],MasterTable[[Project Code and Name ]],PAProjects[[#This Row],[LINKING_CODE]],MasterTable[Funding Source],"GoU Funded")/10^9</f>
        <v>9.1</v>
      </c>
      <c r="T93" s="190">
        <f>SUMIFS(MasterTable[Arrears + All Contractual Commitments (value next FY)],MasterTable[[Project Code and Name ]],PAProjects[[#This Row],[LINKING_CODE]],MasterTable[Funding Source],"External Financing")/10^9</f>
        <v>20.309999999999999</v>
      </c>
      <c r="U93" s="191">
        <f>PAProjects[[#This Row],[GOU 21/22]]+PAProjects[[#This Row],[DONOR 21/22]]</f>
        <v>29.409999999999997</v>
      </c>
      <c r="V93" s="192">
        <f>SUMIFS(MasterTable[FY1 (FY22-23)],MasterTable[[Project Code and Name ]],PAProjects[[#This Row],[LINKING_CODE]],MasterTable[Funding Source],"GoU Funded")/10^9</f>
        <v>2</v>
      </c>
      <c r="W93" s="193">
        <f>SUMIFS(MasterTable[FY1 (FY22-23)],MasterTable[[Project Code and Name ]],PAProjects[[#This Row],[LINKING_CODE]],MasterTable[Funding Source],"External Financing")/10^9</f>
        <v>17</v>
      </c>
      <c r="X93" s="174">
        <f>PAProjects[[#This Row],[GOU 22/23]]+PAProjects[[#This Row],[DONOR 22/23]]</f>
        <v>19</v>
      </c>
      <c r="Y93" s="193">
        <f>SUMIFS(MasterTable[FY2 (FY23-24)],MasterTable[[Project Code and Name ]],PAProjects[[#This Row],[LINKING_CODE]],MasterTable[Funding Source],"GoU Funded")/10^9</f>
        <v>1.6890000000000001</v>
      </c>
      <c r="Z93" s="193">
        <f>SUMIFS(MasterTable[FY2 (FY23-24)],MasterTable[[Project Code and Name ]],PAProjects[[#This Row],[LINKING_CODE]],MasterTable[Funding Source],"External Financing")/10^9</f>
        <v>8.7799999999999994</v>
      </c>
      <c r="AA93" s="175">
        <f t="shared" si="7"/>
        <v>10.468999999999999</v>
      </c>
      <c r="AB93" s="193">
        <f>SUMIFS(MasterTable[FY3 (FY24-25)],MasterTable[[Project Code and Name ]],PAProjects[[#This Row],[LINKING_CODE]],MasterTable[Funding Source],"GoU Funded")/10^9</f>
        <v>1.2</v>
      </c>
      <c r="AC93" s="193">
        <f>SUMIFS(MasterTable[FY3 (FY24-25)],MasterTable[[Project Code and Name ]],PAProjects[[#This Row],[LINKING_CODE]],MasterTable[Funding Source],"External Financing")/10^9</f>
        <v>7.7</v>
      </c>
      <c r="AD93" s="191">
        <f>PAProjects[[#This Row],[GOU 24/25]]+PAProjects[[#This Row],[DONOR 24/25]]</f>
        <v>8.9</v>
      </c>
    </row>
    <row r="94" spans="1:30" ht="23.1" customHeight="1" x14ac:dyDescent="0.25">
      <c r="A94" s="180" t="s">
        <v>1020</v>
      </c>
      <c r="B94" s="175" t="s">
        <v>411</v>
      </c>
      <c r="C94" s="175" t="e">
        <f ca="1">PAProjects[[#This Row],[LINKING_CODE]]=_xlfn.CONCAT(PAProjects[[#This Row],[Project Code]]," ",PAProjects[[#This Row],[Project Name]])</f>
        <v>#NAME?</v>
      </c>
      <c r="D94" s="175" t="str">
        <f>VLOOKUP(PAProjects[[#This Row],[LINKING_CODE]],MasterTable[[Project Code and Name ]],1,FALSE)</f>
        <v>1543 Kihihi-Butogota-Bohoma Road</v>
      </c>
      <c r="E94" s="175" t="s">
        <v>515</v>
      </c>
      <c r="F94" s="175" t="s">
        <v>944</v>
      </c>
      <c r="G94" s="175" t="s">
        <v>113</v>
      </c>
      <c r="H94" s="175" t="str">
        <f>VLOOKUP(I94,'Program Codes'!C:D,2,FALSE)</f>
        <v>08</v>
      </c>
      <c r="I94" s="175" t="s">
        <v>1007</v>
      </c>
      <c r="J94" s="175" t="s">
        <v>615</v>
      </c>
      <c r="K94" s="175" t="s">
        <v>616</v>
      </c>
      <c r="L94" s="175" t="s">
        <v>1509</v>
      </c>
      <c r="M94" s="182">
        <v>43472</v>
      </c>
      <c r="N94" s="182">
        <v>45107</v>
      </c>
      <c r="O94" s="183">
        <v>200</v>
      </c>
      <c r="P94" s="174"/>
      <c r="Q94" s="174">
        <f t="shared" si="5"/>
        <v>200</v>
      </c>
      <c r="R94" s="189">
        <v>0</v>
      </c>
      <c r="S94" s="190">
        <f>SUMIFS(MasterTable[Arrears + All Contractual Commitments (value next FY)],MasterTable[[Project Code and Name ]],PAProjects[[#This Row],[LINKING_CODE]],MasterTable[Funding Source],"GoU Funded")/10^9</f>
        <v>0</v>
      </c>
      <c r="T94" s="190">
        <f>SUMIFS(MasterTable[Arrears + All Contractual Commitments (value next FY)],MasterTable[[Project Code and Name ]],PAProjects[[#This Row],[LINKING_CODE]],MasterTable[Funding Source],"External Financing")/10^9</f>
        <v>0</v>
      </c>
      <c r="U94" s="191">
        <f>PAProjects[[#This Row],[GOU 21/22]]+PAProjects[[#This Row],[DONOR 21/22]]</f>
        <v>0</v>
      </c>
      <c r="V94" s="192">
        <f>SUMIFS(MasterTable[FY1 (FY22-23)],MasterTable[[Project Code and Name ]],PAProjects[[#This Row],[LINKING_CODE]],MasterTable[Funding Source],"GoU Funded")/10^9</f>
        <v>0</v>
      </c>
      <c r="W94" s="193">
        <f>SUMIFS(MasterTable[FY1 (FY22-23)],MasterTable[[Project Code and Name ]],PAProjects[[#This Row],[LINKING_CODE]],MasterTable[Funding Source],"External Financing")/10^9</f>
        <v>23.2</v>
      </c>
      <c r="X94" s="191">
        <f>PAProjects[[#This Row],[GOU 22/23]]+PAProjects[[#This Row],[DONOR 22/23]]</f>
        <v>23.2</v>
      </c>
      <c r="Y94" s="193">
        <f>SUMIFS(MasterTable[FY2 (FY23-24)],MasterTable[[Project Code and Name ]],PAProjects[[#This Row],[LINKING_CODE]],MasterTable[Funding Source],"GoU Funded")/10^9</f>
        <v>0</v>
      </c>
      <c r="Z94" s="193">
        <f>SUMIFS(MasterTable[FY2 (FY23-24)],MasterTable[[Project Code and Name ]],PAProjects[[#This Row],[LINKING_CODE]],MasterTable[Funding Source],"External Financing")/10^9</f>
        <v>0</v>
      </c>
      <c r="AA94" s="175">
        <f t="shared" si="7"/>
        <v>0</v>
      </c>
      <c r="AB94" s="193">
        <f>SUMIFS(MasterTable[FY3 (FY24-25)],MasterTable[[Project Code and Name ]],PAProjects[[#This Row],[LINKING_CODE]],MasterTable[Funding Source],"GoU Funded")/10^9</f>
        <v>0</v>
      </c>
      <c r="AC94" s="193">
        <f>SUMIFS(MasterTable[FY3 (FY24-25)],MasterTable[[Project Code and Name ]],PAProjects[[#This Row],[LINKING_CODE]],MasterTable[Funding Source],"External Financing")/10^9</f>
        <v>0</v>
      </c>
      <c r="AD94" s="191">
        <f>PAProjects[[#This Row],[GOU 24/25]]+PAProjects[[#This Row],[DONOR 24/25]]</f>
        <v>0</v>
      </c>
    </row>
    <row r="95" spans="1:30" ht="15" customHeight="1" x14ac:dyDescent="0.25">
      <c r="A95" s="180" t="s">
        <v>1022</v>
      </c>
      <c r="B95" s="175" t="s">
        <v>412</v>
      </c>
      <c r="C95" s="175" t="e">
        <f ca="1">PAProjects[[#This Row],[LINKING_CODE]]=_xlfn.CONCAT(PAProjects[[#This Row],[Project Code]]," ",PAProjects[[#This Row],[Project Name]])</f>
        <v>#NAME?</v>
      </c>
      <c r="D95" s="175" t="str">
        <f>VLOOKUP(PAProjects[[#This Row],[LINKING_CODE]],MasterTable[[Project Code and Name ]],1,FALSE)</f>
        <v>1544 Kisoro-Lake Bunyonyi Road</v>
      </c>
      <c r="E95" s="175" t="s">
        <v>515</v>
      </c>
      <c r="F95" s="175" t="s">
        <v>944</v>
      </c>
      <c r="G95" s="175" t="s">
        <v>113</v>
      </c>
      <c r="H95" s="175" t="str">
        <f>VLOOKUP(I95,'Program Codes'!C:D,2,FALSE)</f>
        <v>08</v>
      </c>
      <c r="I95" s="175" t="s">
        <v>1007</v>
      </c>
      <c r="J95" s="175" t="s">
        <v>618</v>
      </c>
      <c r="K95" s="175" t="s">
        <v>619</v>
      </c>
      <c r="L95" s="175" t="s">
        <v>1509</v>
      </c>
      <c r="M95" s="182">
        <v>43472</v>
      </c>
      <c r="N95" s="182">
        <v>45107</v>
      </c>
      <c r="O95" s="183">
        <v>50</v>
      </c>
      <c r="P95" s="174"/>
      <c r="Q95" s="174">
        <f t="shared" si="5"/>
        <v>50</v>
      </c>
      <c r="R95" s="189">
        <v>0</v>
      </c>
      <c r="S95" s="190">
        <f>SUMIFS(MasterTable[Arrears + All Contractual Commitments (value next FY)],MasterTable[[Project Code and Name ]],PAProjects[[#This Row],[LINKING_CODE]],MasterTable[Funding Source],"GoU Funded")/10^9</f>
        <v>0</v>
      </c>
      <c r="T95" s="190">
        <f>SUMIFS(MasterTable[Arrears + All Contractual Commitments (value next FY)],MasterTable[[Project Code and Name ]],PAProjects[[#This Row],[LINKING_CODE]],MasterTable[Funding Source],"External Financing")/10^9</f>
        <v>11</v>
      </c>
      <c r="U95" s="191">
        <f>PAProjects[[#This Row],[GOU 21/22]]+PAProjects[[#This Row],[DONOR 21/22]]</f>
        <v>11</v>
      </c>
      <c r="V95" s="192">
        <f>SUMIFS(MasterTable[FY1 (FY22-23)],MasterTable[[Project Code and Name ]],PAProjects[[#This Row],[LINKING_CODE]],MasterTable[Funding Source],"GoU Funded")/10^9</f>
        <v>0</v>
      </c>
      <c r="W95" s="193">
        <f>SUMIFS(MasterTable[FY1 (FY22-23)],MasterTable[[Project Code and Name ]],PAProjects[[#This Row],[LINKING_CODE]],MasterTable[Funding Source],"External Financing")/10^9</f>
        <v>17</v>
      </c>
      <c r="X95" s="191">
        <f>PAProjects[[#This Row],[GOU 22/23]]+PAProjects[[#This Row],[DONOR 22/23]]</f>
        <v>17</v>
      </c>
      <c r="Y95" s="193">
        <f>SUMIFS(MasterTable[FY2 (FY23-24)],MasterTable[[Project Code and Name ]],PAProjects[[#This Row],[LINKING_CODE]],MasterTable[Funding Source],"GoU Funded")/10^9</f>
        <v>0</v>
      </c>
      <c r="Z95" s="193">
        <f>SUMIFS(MasterTable[FY2 (FY23-24)],MasterTable[[Project Code and Name ]],PAProjects[[#This Row],[LINKING_CODE]],MasterTable[Funding Source],"External Financing")/10^9</f>
        <v>0</v>
      </c>
      <c r="AA95" s="175">
        <f t="shared" si="7"/>
        <v>0</v>
      </c>
      <c r="AB95" s="193">
        <f>SUMIFS(MasterTable[FY3 (FY24-25)],MasterTable[[Project Code and Name ]],PAProjects[[#This Row],[LINKING_CODE]],MasterTable[Funding Source],"GoU Funded")/10^9</f>
        <v>0</v>
      </c>
      <c r="AC95" s="193">
        <f>SUMIFS(MasterTable[FY3 (FY24-25)],MasterTable[[Project Code and Name ]],PAProjects[[#This Row],[LINKING_CODE]],MasterTable[Funding Source],"External Financing")/10^9</f>
        <v>0</v>
      </c>
      <c r="AD95" s="191">
        <f>PAProjects[[#This Row],[GOU 24/25]]+PAProjects[[#This Row],[DONOR 24/25]]</f>
        <v>0</v>
      </c>
    </row>
    <row r="96" spans="1:30" ht="15" customHeight="1" x14ac:dyDescent="0.25">
      <c r="A96" s="180" t="s">
        <v>1024</v>
      </c>
      <c r="B96" s="175" t="s">
        <v>413</v>
      </c>
      <c r="C96" s="175" t="e">
        <f ca="1">PAProjects[[#This Row],[LINKING_CODE]]=_xlfn.CONCAT(PAProjects[[#This Row],[Project Code]]," ",PAProjects[[#This Row],[Project Name]])</f>
        <v>#NAME?</v>
      </c>
      <c r="D96" s="175" t="str">
        <f>VLOOKUP(PAProjects[[#This Row],[LINKING_CODE]],MasterTable[[Project Code and Name ]],1,FALSE)</f>
        <v>1545 Kisoro-Mgahinga National Park Headquarters Road</v>
      </c>
      <c r="E96" s="175" t="s">
        <v>515</v>
      </c>
      <c r="F96" s="175" t="s">
        <v>944</v>
      </c>
      <c r="G96" s="175" t="s">
        <v>113</v>
      </c>
      <c r="H96" s="175" t="str">
        <f>VLOOKUP(I96,'Program Codes'!C:D,2,FALSE)</f>
        <v>08</v>
      </c>
      <c r="I96" s="175" t="s">
        <v>1007</v>
      </c>
      <c r="J96" s="175" t="s">
        <v>621</v>
      </c>
      <c r="K96" s="175" t="s">
        <v>622</v>
      </c>
      <c r="L96" s="175" t="s">
        <v>1509</v>
      </c>
      <c r="M96" s="182">
        <v>43472</v>
      </c>
      <c r="N96" s="182">
        <v>45107</v>
      </c>
      <c r="O96" s="183">
        <v>45</v>
      </c>
      <c r="P96" s="174"/>
      <c r="Q96" s="174">
        <f t="shared" si="5"/>
        <v>45</v>
      </c>
      <c r="R96" s="189">
        <v>0</v>
      </c>
      <c r="S96" s="190">
        <f>SUMIFS(MasterTable[Arrears + All Contractual Commitments (value next FY)],MasterTable[[Project Code and Name ]],PAProjects[[#This Row],[LINKING_CODE]],MasterTable[Funding Source],"GoU Funded")/10^9</f>
        <v>0</v>
      </c>
      <c r="T96" s="190">
        <f>SUMIFS(MasterTable[Arrears + All Contractual Commitments (value next FY)],MasterTable[[Project Code and Name ]],PAProjects[[#This Row],[LINKING_CODE]],MasterTable[Funding Source],"External Financing")/10^9</f>
        <v>10</v>
      </c>
      <c r="U96" s="191">
        <f>PAProjects[[#This Row],[GOU 21/22]]+PAProjects[[#This Row],[DONOR 21/22]]</f>
        <v>10</v>
      </c>
      <c r="V96" s="192">
        <f>SUMIFS(MasterTable[FY1 (FY22-23)],MasterTable[[Project Code and Name ]],PAProjects[[#This Row],[LINKING_CODE]],MasterTable[Funding Source],"GoU Funded")/10^9</f>
        <v>0</v>
      </c>
      <c r="W96" s="193">
        <f>SUMIFS(MasterTable[FY1 (FY22-23)],MasterTable[[Project Code and Name ]],PAProjects[[#This Row],[LINKING_CODE]],MasterTable[Funding Source],"External Financing")/10^9</f>
        <v>16</v>
      </c>
      <c r="X96" s="191">
        <f>PAProjects[[#This Row],[GOU 22/23]]+PAProjects[[#This Row],[DONOR 22/23]]</f>
        <v>16</v>
      </c>
      <c r="Y96" s="193">
        <f>SUMIFS(MasterTable[FY2 (FY23-24)],MasterTable[[Project Code and Name ]],PAProjects[[#This Row],[LINKING_CODE]],MasterTable[Funding Source],"GoU Funded")/10^9</f>
        <v>0</v>
      </c>
      <c r="Z96" s="193">
        <f>SUMIFS(MasterTable[FY2 (FY23-24)],MasterTable[[Project Code and Name ]],PAProjects[[#This Row],[LINKING_CODE]],MasterTable[Funding Source],"External Financing")/10^9</f>
        <v>0</v>
      </c>
      <c r="AA96" s="175">
        <f t="shared" si="7"/>
        <v>0</v>
      </c>
      <c r="AB96" s="193">
        <f>SUMIFS(MasterTable[FY3 (FY24-25)],MasterTable[[Project Code and Name ]],PAProjects[[#This Row],[LINKING_CODE]],MasterTable[Funding Source],"GoU Funded")/10^9</f>
        <v>0</v>
      </c>
      <c r="AC96" s="193">
        <f>SUMIFS(MasterTable[FY3 (FY24-25)],MasterTable[[Project Code and Name ]],PAProjects[[#This Row],[LINKING_CODE]],MasterTable[Funding Source],"External Financing")/10^9</f>
        <v>0</v>
      </c>
      <c r="AD96" s="191">
        <f>PAProjects[[#This Row],[GOU 24/25]]+PAProjects[[#This Row],[DONOR 24/25]]</f>
        <v>0</v>
      </c>
    </row>
    <row r="97" spans="1:30" ht="15" customHeight="1" x14ac:dyDescent="0.25">
      <c r="A97" s="180" t="s">
        <v>1026</v>
      </c>
      <c r="B97" s="175" t="s">
        <v>414</v>
      </c>
      <c r="C97" s="175" t="e">
        <f ca="1">PAProjects[[#This Row],[LINKING_CODE]]=_xlfn.CONCAT(PAProjects[[#This Row],[Project Code]]," ",PAProjects[[#This Row],[Project Name]])</f>
        <v>#NAME?</v>
      </c>
      <c r="D97" s="175" t="str">
        <f>VLOOKUP(PAProjects[[#This Row],[LINKING_CODE]],MasterTable[[Project Code and Name ]],1,FALSE)</f>
        <v>1546 Kisoro-Nkuringo-Rubugiri-Muko Road</v>
      </c>
      <c r="E97" s="175" t="s">
        <v>515</v>
      </c>
      <c r="F97" s="175" t="s">
        <v>944</v>
      </c>
      <c r="G97" s="175" t="s">
        <v>113</v>
      </c>
      <c r="H97" s="175" t="str">
        <f>VLOOKUP(I97,'Program Codes'!C:D,2,FALSE)</f>
        <v>08</v>
      </c>
      <c r="I97" s="175" t="s">
        <v>1007</v>
      </c>
      <c r="J97" s="175" t="s">
        <v>624</v>
      </c>
      <c r="K97" s="175" t="s">
        <v>625</v>
      </c>
      <c r="L97" s="175" t="s">
        <v>1509</v>
      </c>
      <c r="M97" s="182">
        <v>43472</v>
      </c>
      <c r="N97" s="182">
        <v>45107</v>
      </c>
      <c r="O97" s="183">
        <v>200</v>
      </c>
      <c r="P97" s="174"/>
      <c r="Q97" s="174">
        <f t="shared" si="5"/>
        <v>200</v>
      </c>
      <c r="R97" s="189">
        <v>0</v>
      </c>
      <c r="S97" s="190">
        <f>SUMIFS(MasterTable[Arrears + All Contractual Commitments (value next FY)],MasterTable[[Project Code and Name ]],PAProjects[[#This Row],[LINKING_CODE]],MasterTable[Funding Source],"GoU Funded")/10^9</f>
        <v>7.98</v>
      </c>
      <c r="T97" s="190">
        <f>SUMIFS(MasterTable[Arrears + All Contractual Commitments (value next FY)],MasterTable[[Project Code and Name ]],PAProjects[[#This Row],[LINKING_CODE]],MasterTable[Funding Source],"External Financing")/10^9</f>
        <v>45.22</v>
      </c>
      <c r="U97" s="191">
        <f>PAProjects[[#This Row],[GOU 21/22]]+PAProjects[[#This Row],[DONOR 21/22]]</f>
        <v>53.2</v>
      </c>
      <c r="V97" s="192">
        <f>SUMIFS(MasterTable[FY1 (FY22-23)],MasterTable[[Project Code and Name ]],PAProjects[[#This Row],[LINKING_CODE]],MasterTable[Funding Source],"GoU Funded")/10^9</f>
        <v>11.97</v>
      </c>
      <c r="W97" s="193">
        <f>SUMIFS(MasterTable[FY1 (FY22-23)],MasterTable[[Project Code and Name ]],PAProjects[[#This Row],[LINKING_CODE]],MasterTable[Funding Source],"External Financing")/10^9</f>
        <v>67.83</v>
      </c>
      <c r="X97" s="191">
        <f>PAProjects[[#This Row],[GOU 22/23]]+PAProjects[[#This Row],[DONOR 22/23]]</f>
        <v>79.8</v>
      </c>
      <c r="Y97" s="193">
        <f>SUMIFS(MasterTable[FY2 (FY23-24)],MasterTable[[Project Code and Name ]],PAProjects[[#This Row],[LINKING_CODE]],MasterTable[Funding Source],"GoU Funded")/10^9</f>
        <v>0</v>
      </c>
      <c r="Z97" s="193">
        <f>SUMIFS(MasterTable[FY2 (FY23-24)],MasterTable[[Project Code and Name ]],PAProjects[[#This Row],[LINKING_CODE]],MasterTable[Funding Source],"External Financing")/10^9</f>
        <v>0</v>
      </c>
      <c r="AA97" s="175">
        <f t="shared" si="7"/>
        <v>0</v>
      </c>
      <c r="AB97" s="193">
        <f>SUMIFS(MasterTable[FY3 (FY24-25)],MasterTable[[Project Code and Name ]],PAProjects[[#This Row],[LINKING_CODE]],MasterTable[Funding Source],"GoU Funded")/10^9</f>
        <v>0</v>
      </c>
      <c r="AC97" s="193">
        <f>SUMIFS(MasterTable[FY3 (FY24-25)],MasterTable[[Project Code and Name ]],PAProjects[[#This Row],[LINKING_CODE]],MasterTable[Funding Source],"External Financing")/10^9</f>
        <v>0</v>
      </c>
      <c r="AD97" s="191">
        <f>PAProjects[[#This Row],[GOU 24/25]]+PAProjects[[#This Row],[DONOR 24/25]]</f>
        <v>0</v>
      </c>
    </row>
    <row r="98" spans="1:30" ht="15" customHeight="1" x14ac:dyDescent="0.25">
      <c r="A98" s="180" t="s">
        <v>1027</v>
      </c>
      <c r="B98" s="175" t="s">
        <v>415</v>
      </c>
      <c r="C98" s="175" t="e">
        <f ca="1">PAProjects[[#This Row],[LINKING_CODE]]=_xlfn.CONCAT(PAProjects[[#This Row],[Project Code]]," ",PAProjects[[#This Row],[Project Name]])</f>
        <v>#NAME?</v>
      </c>
      <c r="D98" s="175" t="str">
        <f>VLOOKUP(PAProjects[[#This Row],[LINKING_CODE]],MasterTable[[Project Code and Name ]],1,FALSE)</f>
        <v>1550 Namunsi-Sironko/Muyembe-Kapchorwa Section I</v>
      </c>
      <c r="E98" s="175" t="s">
        <v>515</v>
      </c>
      <c r="F98" s="175" t="s">
        <v>944</v>
      </c>
      <c r="G98" s="175" t="s">
        <v>113</v>
      </c>
      <c r="H98" s="175" t="str">
        <f>VLOOKUP(I98,'Program Codes'!C:D,2,FALSE)</f>
        <v>08</v>
      </c>
      <c r="I98" s="175" t="s">
        <v>1007</v>
      </c>
      <c r="J98" s="175" t="s">
        <v>629</v>
      </c>
      <c r="K98" s="175" t="s">
        <v>630</v>
      </c>
      <c r="L98" s="175" t="s">
        <v>1509</v>
      </c>
      <c r="M98" s="182">
        <v>43472</v>
      </c>
      <c r="N98" s="182">
        <v>44742</v>
      </c>
      <c r="O98" s="183">
        <v>50.15</v>
      </c>
      <c r="P98" s="174"/>
      <c r="Q98" s="174">
        <f t="shared" si="5"/>
        <v>50.15</v>
      </c>
      <c r="R98" s="189">
        <v>0</v>
      </c>
      <c r="S98" s="190">
        <f>SUMIFS(MasterTable[Arrears + All Contractual Commitments (value next FY)],MasterTable[[Project Code and Name ]],PAProjects[[#This Row],[LINKING_CODE]],MasterTable[Funding Source],"GoU Funded")/10^9</f>
        <v>0</v>
      </c>
      <c r="T98" s="190">
        <f>SUMIFS(MasterTable[Arrears + All Contractual Commitments (value next FY)],MasterTable[[Project Code and Name ]],PAProjects[[#This Row],[LINKING_CODE]],MasterTable[Funding Source],"External Financing")/10^9</f>
        <v>0</v>
      </c>
      <c r="U98" s="191">
        <f>PAProjects[[#This Row],[GOU 21/22]]+PAProjects[[#This Row],[DONOR 21/22]]</f>
        <v>0</v>
      </c>
      <c r="V98" s="192">
        <f>SUMIFS(MasterTable[FY1 (FY22-23)],MasterTable[[Project Code and Name ]],PAProjects[[#This Row],[LINKING_CODE]],MasterTable[Funding Source],"GoU Funded")/10^9</f>
        <v>0</v>
      </c>
      <c r="W98" s="193">
        <f>SUMIFS(MasterTable[FY1 (FY22-23)],MasterTable[[Project Code and Name ]],PAProjects[[#This Row],[LINKING_CODE]],MasterTable[Funding Source],"External Financing")/10^9</f>
        <v>0</v>
      </c>
      <c r="X98" s="191">
        <f>PAProjects[[#This Row],[GOU 22/23]]+PAProjects[[#This Row],[DONOR 22/23]]</f>
        <v>0</v>
      </c>
      <c r="Y98" s="193">
        <f>SUMIFS(MasterTable[FY2 (FY23-24)],MasterTable[[Project Code and Name ]],PAProjects[[#This Row],[LINKING_CODE]],MasterTable[Funding Source],"GoU Funded")/10^9</f>
        <v>0</v>
      </c>
      <c r="Z98" s="193">
        <f>SUMIFS(MasterTable[FY2 (FY23-24)],MasterTable[[Project Code and Name ]],PAProjects[[#This Row],[LINKING_CODE]],MasterTable[Funding Source],"External Financing")/10^9</f>
        <v>0</v>
      </c>
      <c r="AA98" s="175">
        <f t="shared" si="7"/>
        <v>0</v>
      </c>
      <c r="AB98" s="193">
        <f>SUMIFS(MasterTable[FY3 (FY24-25)],MasterTable[[Project Code and Name ]],PAProjects[[#This Row],[LINKING_CODE]],MasterTable[Funding Source],"GoU Funded")/10^9</f>
        <v>0</v>
      </c>
      <c r="AC98" s="193">
        <f>SUMIFS(MasterTable[FY3 (FY24-25)],MasterTable[[Project Code and Name ]],PAProjects[[#This Row],[LINKING_CODE]],MasterTable[Funding Source],"External Financing")/10^9</f>
        <v>0</v>
      </c>
      <c r="AD98" s="191">
        <f>PAProjects[[#This Row],[GOU 24/25]]+PAProjects[[#This Row],[DONOR 24/25]]</f>
        <v>0</v>
      </c>
    </row>
    <row r="99" spans="1:30" ht="15" customHeight="1" x14ac:dyDescent="0.25">
      <c r="A99" s="180" t="s">
        <v>1029</v>
      </c>
      <c r="B99" s="175" t="s">
        <v>416</v>
      </c>
      <c r="C99" s="175" t="e">
        <f ca="1">PAProjects[[#This Row],[LINKING_CODE]]=_xlfn.CONCAT(PAProjects[[#This Row],[Project Code]]," ",PAProjects[[#This Row],[Project Name]])</f>
        <v>#NAME?</v>
      </c>
      <c r="D99" s="175" t="str">
        <f>VLOOKUP(PAProjects[[#This Row],[LINKING_CODE]],MasterTable[[Project Code and Name ]],1,FALSE)</f>
        <v>1552 Hoima-Katunguru Road</v>
      </c>
      <c r="E99" s="175" t="s">
        <v>515</v>
      </c>
      <c r="F99" s="175" t="s">
        <v>944</v>
      </c>
      <c r="G99" s="175" t="s">
        <v>113</v>
      </c>
      <c r="H99" s="175" t="str">
        <f>VLOOKUP(I99,'Program Codes'!C:D,2,FALSE)</f>
        <v>08</v>
      </c>
      <c r="I99" s="175" t="s">
        <v>1007</v>
      </c>
      <c r="J99" s="175" t="s">
        <v>633</v>
      </c>
      <c r="K99" s="175" t="s">
        <v>634</v>
      </c>
      <c r="L99" s="175" t="s">
        <v>1509</v>
      </c>
      <c r="M99" s="182">
        <v>43472</v>
      </c>
      <c r="N99" s="182">
        <v>44742</v>
      </c>
      <c r="O99" s="183">
        <v>89.557000000000002</v>
      </c>
      <c r="P99" s="174"/>
      <c r="Q99" s="174">
        <f t="shared" si="5"/>
        <v>89.557000000000002</v>
      </c>
      <c r="R99" s="189">
        <v>0</v>
      </c>
      <c r="S99" s="190">
        <f>SUMIFS(MasterTable[Arrears + All Contractual Commitments (value next FY)],MasterTable[[Project Code and Name ]],PAProjects[[#This Row],[LINKING_CODE]],MasterTable[Funding Source],"GoU Funded")/10^9</f>
        <v>47</v>
      </c>
      <c r="T99" s="190">
        <f>SUMIFS(MasterTable[Arrears + All Contractual Commitments (value next FY)],MasterTable[[Project Code and Name ]],PAProjects[[#This Row],[LINKING_CODE]],MasterTable[Funding Source],"External Financing")/10^9</f>
        <v>0</v>
      </c>
      <c r="U99" s="191">
        <f>PAProjects[[#This Row],[GOU 21/22]]+PAProjects[[#This Row],[DONOR 21/22]]</f>
        <v>47</v>
      </c>
      <c r="V99" s="192">
        <f>SUMIFS(MasterTable[FY1 (FY22-23)],MasterTable[[Project Code and Name ]],PAProjects[[#This Row],[LINKING_CODE]],MasterTable[Funding Source],"GoU Funded")/10^9</f>
        <v>0</v>
      </c>
      <c r="W99" s="193">
        <f>SUMIFS(MasterTable[FY1 (FY22-23)],MasterTable[[Project Code and Name ]],PAProjects[[#This Row],[LINKING_CODE]],MasterTable[Funding Source],"External Financing")/10^9</f>
        <v>0</v>
      </c>
      <c r="X99" s="191">
        <f>PAProjects[[#This Row],[GOU 22/23]]+PAProjects[[#This Row],[DONOR 22/23]]</f>
        <v>0</v>
      </c>
      <c r="Y99" s="193">
        <f>SUMIFS(MasterTable[FY2 (FY23-24)],MasterTable[[Project Code and Name ]],PAProjects[[#This Row],[LINKING_CODE]],MasterTable[Funding Source],"GoU Funded")/10^9</f>
        <v>0</v>
      </c>
      <c r="Z99" s="193">
        <f>SUMIFS(MasterTable[FY2 (FY23-24)],MasterTable[[Project Code and Name ]],PAProjects[[#This Row],[LINKING_CODE]],MasterTable[Funding Source],"External Financing")/10^9</f>
        <v>0</v>
      </c>
      <c r="AA99" s="175">
        <f t="shared" si="7"/>
        <v>0</v>
      </c>
      <c r="AB99" s="193">
        <f>SUMIFS(MasterTable[FY3 (FY24-25)],MasterTable[[Project Code and Name ]],PAProjects[[#This Row],[LINKING_CODE]],MasterTable[Funding Source],"GoU Funded")/10^9</f>
        <v>0</v>
      </c>
      <c r="AC99" s="193">
        <f>SUMIFS(MasterTable[FY3 (FY24-25)],MasterTable[[Project Code and Name ]],PAProjects[[#This Row],[LINKING_CODE]],MasterTable[Funding Source],"External Financing")/10^9</f>
        <v>0</v>
      </c>
      <c r="AD99" s="191">
        <f>PAProjects[[#This Row],[GOU 24/25]]+PAProjects[[#This Row],[DONOR 24/25]]</f>
        <v>0</v>
      </c>
    </row>
    <row r="100" spans="1:30" ht="15" customHeight="1" x14ac:dyDescent="0.25">
      <c r="A100" s="180" t="s">
        <v>1031</v>
      </c>
      <c r="B100" s="175" t="s">
        <v>417</v>
      </c>
      <c r="C100" s="175" t="e">
        <f ca="1">PAProjects[[#This Row],[LINKING_CODE]]=_xlfn.CONCAT(PAProjects[[#This Row],[Project Code]]," ",PAProjects[[#This Row],[Project Name]])</f>
        <v>#NAME?</v>
      </c>
      <c r="D100" s="175" t="str">
        <f>VLOOKUP(PAProjects[[#This Row],[LINKING_CODE]],MasterTable[[Project Code and Name ]],1,FALSE)</f>
        <v>1554 Nakalama-Tirinyi-Mbale Road</v>
      </c>
      <c r="E100" s="175" t="s">
        <v>515</v>
      </c>
      <c r="F100" s="175" t="s">
        <v>944</v>
      </c>
      <c r="G100" s="175" t="s">
        <v>113</v>
      </c>
      <c r="H100" s="175" t="str">
        <f>VLOOKUP(I100,'Program Codes'!C:D,2,FALSE)</f>
        <v>08</v>
      </c>
      <c r="I100" s="175" t="s">
        <v>1007</v>
      </c>
      <c r="J100" s="175" t="s">
        <v>637</v>
      </c>
      <c r="K100" s="175" t="s">
        <v>638</v>
      </c>
      <c r="L100" s="175" t="s">
        <v>1509</v>
      </c>
      <c r="M100" s="182">
        <v>43472</v>
      </c>
      <c r="N100" s="182">
        <v>44742</v>
      </c>
      <c r="O100" s="204">
        <v>73.36</v>
      </c>
      <c r="P100" s="174"/>
      <c r="Q100" s="174">
        <f t="shared" si="5"/>
        <v>73.36</v>
      </c>
      <c r="R100" s="189">
        <v>0</v>
      </c>
      <c r="S100" s="190">
        <f>SUMIFS(MasterTable[Arrears + All Contractual Commitments (value next FY)],MasterTable[[Project Code and Name ]],PAProjects[[#This Row],[LINKING_CODE]],MasterTable[Funding Source],"GoU Funded")/10^9</f>
        <v>22.5</v>
      </c>
      <c r="T100" s="190">
        <f>SUMIFS(MasterTable[Arrears + All Contractual Commitments (value next FY)],MasterTable[[Project Code and Name ]],PAProjects[[#This Row],[LINKING_CODE]],MasterTable[Funding Source],"External Financing")/10^9</f>
        <v>0</v>
      </c>
      <c r="U100" s="191">
        <f>PAProjects[[#This Row],[GOU 21/22]]+PAProjects[[#This Row],[DONOR 21/22]]</f>
        <v>22.5</v>
      </c>
      <c r="V100" s="192">
        <f>SUMIFS(MasterTable[FY1 (FY22-23)],MasterTable[[Project Code and Name ]],PAProjects[[#This Row],[LINKING_CODE]],MasterTable[Funding Source],"GoU Funded")/10^9</f>
        <v>0</v>
      </c>
      <c r="W100" s="193">
        <f>SUMIFS(MasterTable[FY1 (FY22-23)],MasterTable[[Project Code and Name ]],PAProjects[[#This Row],[LINKING_CODE]],MasterTable[Funding Source],"External Financing")/10^9</f>
        <v>0</v>
      </c>
      <c r="X100" s="191">
        <f>PAProjects[[#This Row],[GOU 22/23]]+PAProjects[[#This Row],[DONOR 22/23]]</f>
        <v>0</v>
      </c>
      <c r="Y100" s="193">
        <f>SUMIFS(MasterTable[FY2 (FY23-24)],MasterTable[[Project Code and Name ]],PAProjects[[#This Row],[LINKING_CODE]],MasterTable[Funding Source],"GoU Funded")/10^9</f>
        <v>0</v>
      </c>
      <c r="Z100" s="193">
        <f>SUMIFS(MasterTable[FY2 (FY23-24)],MasterTable[[Project Code and Name ]],PAProjects[[#This Row],[LINKING_CODE]],MasterTable[Funding Source],"External Financing")/10^9</f>
        <v>0</v>
      </c>
      <c r="AA100" s="175">
        <f t="shared" si="7"/>
        <v>0</v>
      </c>
      <c r="AB100" s="193">
        <f>SUMIFS(MasterTable[FY3 (FY24-25)],MasterTable[[Project Code and Name ]],PAProjects[[#This Row],[LINKING_CODE]],MasterTable[Funding Source],"GoU Funded")/10^9</f>
        <v>0</v>
      </c>
      <c r="AC100" s="193">
        <f>SUMIFS(MasterTable[FY3 (FY24-25)],MasterTable[[Project Code and Name ]],PAProjects[[#This Row],[LINKING_CODE]],MasterTable[Funding Source],"External Financing")/10^9</f>
        <v>0</v>
      </c>
      <c r="AD100" s="191">
        <f>PAProjects[[#This Row],[GOU 24/25]]+PAProjects[[#This Row],[DONOR 24/25]]</f>
        <v>0</v>
      </c>
    </row>
    <row r="101" spans="1:30" ht="15" customHeight="1" x14ac:dyDescent="0.25">
      <c r="A101" s="180" t="s">
        <v>1034</v>
      </c>
      <c r="B101" s="175" t="s">
        <v>440</v>
      </c>
      <c r="C101" s="175" t="e">
        <f ca="1">PAProjects[[#This Row],[LINKING_CODE]]=_xlfn.CONCAT(PAProjects[[#This Row],[Project Code]]," ",PAProjects[[#This Row],[Project Name]])</f>
        <v>#NAME?</v>
      </c>
      <c r="D101" s="175" t="str">
        <f>VLOOKUP(PAProjects[[#This Row],[LINKING_CODE]],MasterTable[[Project Code and Name ]],1,FALSE)</f>
        <v>1558 Rural Bridges Infrastructure Development</v>
      </c>
      <c r="E101" s="175" t="s">
        <v>515</v>
      </c>
      <c r="F101" s="175" t="s">
        <v>944</v>
      </c>
      <c r="G101" s="175" t="s">
        <v>99</v>
      </c>
      <c r="H101" s="175" t="str">
        <f>VLOOKUP(I101,'Program Codes'!C:D,2,FALSE)</f>
        <v>08</v>
      </c>
      <c r="I101" s="175" t="s">
        <v>1007</v>
      </c>
      <c r="J101" s="175" t="s">
        <v>610</v>
      </c>
      <c r="K101" s="175" t="s">
        <v>1019</v>
      </c>
      <c r="L101" s="175" t="s">
        <v>1509</v>
      </c>
      <c r="M101" s="182">
        <v>43472</v>
      </c>
      <c r="N101" s="182">
        <v>45473</v>
      </c>
      <c r="O101" s="183">
        <v>300</v>
      </c>
      <c r="P101" s="174"/>
      <c r="Q101" s="174">
        <f t="shared" si="5"/>
        <v>300</v>
      </c>
      <c r="R101" s="189">
        <v>0</v>
      </c>
      <c r="S101" s="190">
        <f>SUMIFS(MasterTable[Arrears + All Contractual Commitments (value next FY)],MasterTable[[Project Code and Name ]],PAProjects[[#This Row],[LINKING_CODE]],MasterTable[Funding Source],"GoU Funded")/10^9</f>
        <v>21.3</v>
      </c>
      <c r="T101" s="190">
        <f>SUMIFS(MasterTable[Arrears + All Contractual Commitments (value next FY)],MasterTable[[Project Code and Name ]],PAProjects[[#This Row],[LINKING_CODE]],MasterTable[Funding Source],"External Financing")/10^9</f>
        <v>0</v>
      </c>
      <c r="U101" s="194">
        <f>PAProjects[[#This Row],[GOU 21/22]]+PAProjects[[#This Row],[DONOR 21/22]]</f>
        <v>21.3</v>
      </c>
      <c r="V101" s="192">
        <f>SUMIFS(MasterTable[FY1 (FY22-23)],MasterTable[[Project Code and Name ]],PAProjects[[#This Row],[LINKING_CODE]],MasterTable[Funding Source],"GoU Funded")/10^9</f>
        <v>80</v>
      </c>
      <c r="W101" s="193">
        <f>SUMIFS(MasterTable[FY1 (FY22-23)],MasterTable[[Project Code and Name ]],PAProjects[[#This Row],[LINKING_CODE]],MasterTable[Funding Source],"External Financing")/10^9</f>
        <v>0</v>
      </c>
      <c r="X101" s="194">
        <f>PAProjects[[#This Row],[GOU 22/23]]+PAProjects[[#This Row],[DONOR 22/23]]</f>
        <v>80</v>
      </c>
      <c r="Y101" s="193">
        <f>SUMIFS(MasterTable[FY2 (FY23-24)],MasterTable[[Project Code and Name ]],PAProjects[[#This Row],[LINKING_CODE]],MasterTable[Funding Source],"GoU Funded")/10^9</f>
        <v>100</v>
      </c>
      <c r="Z101" s="193">
        <f>SUMIFS(MasterTable[FY2 (FY23-24)],MasterTable[[Project Code and Name ]],PAProjects[[#This Row],[LINKING_CODE]],MasterTable[Funding Source],"External Financing")/10^9</f>
        <v>0</v>
      </c>
      <c r="AA101" s="194">
        <f t="shared" si="7"/>
        <v>100</v>
      </c>
      <c r="AB101" s="193">
        <f>SUMIFS(MasterTable[FY3 (FY24-25)],MasterTable[[Project Code and Name ]],PAProjects[[#This Row],[LINKING_CODE]],MasterTable[Funding Source],"GoU Funded")/10^9</f>
        <v>0</v>
      </c>
      <c r="AC101" s="193">
        <f>SUMIFS(MasterTable[FY3 (FY24-25)],MasterTable[[Project Code and Name ]],PAProjects[[#This Row],[LINKING_CODE]],MasterTable[Funding Source],"External Financing")/10^9</f>
        <v>0</v>
      </c>
      <c r="AD101" s="191">
        <f>PAProjects[[#This Row],[GOU 24/25]]+PAProjects[[#This Row],[DONOR 24/25]]</f>
        <v>0</v>
      </c>
    </row>
    <row r="102" spans="1:30" ht="15" customHeight="1" x14ac:dyDescent="0.25">
      <c r="A102" s="180" t="s">
        <v>1036</v>
      </c>
      <c r="B102" s="175" t="s">
        <v>441</v>
      </c>
      <c r="C102" s="175" t="e">
        <f ca="1">PAProjects[[#This Row],[LINKING_CODE]]=_xlfn.CONCAT(PAProjects[[#This Row],[Project Code]]," ",PAProjects[[#This Row],[Project Name]])</f>
        <v>#NAME?</v>
      </c>
      <c r="D102" s="175" t="str">
        <f>VLOOKUP(PAProjects[[#This Row],[LINKING_CODE]],MasterTable[[Project Code and Name ]],1,FALSE)</f>
        <v xml:space="preserve">1563 URC Capacity Building Project </v>
      </c>
      <c r="E102" s="175" t="s">
        <v>515</v>
      </c>
      <c r="F102" s="175" t="s">
        <v>944</v>
      </c>
      <c r="G102" s="175" t="s">
        <v>99</v>
      </c>
      <c r="H102" s="175" t="str">
        <f>VLOOKUP(I102,'Program Codes'!C:D,2,FALSE)</f>
        <v>08</v>
      </c>
      <c r="I102" s="175" t="s">
        <v>1007</v>
      </c>
      <c r="J102" s="175" t="s">
        <v>1021</v>
      </c>
      <c r="K102" s="175" t="s">
        <v>641</v>
      </c>
      <c r="L102" s="175" t="s">
        <v>1509</v>
      </c>
      <c r="M102" s="182">
        <v>44013</v>
      </c>
      <c r="N102" s="182">
        <v>45838</v>
      </c>
      <c r="O102" s="206">
        <v>77.760000000000005</v>
      </c>
      <c r="P102" s="206">
        <v>1407.33</v>
      </c>
      <c r="Q102" s="196">
        <f t="shared" ref="Q102:Q133" si="8">SUM(O102:P102)</f>
        <v>1485.09</v>
      </c>
      <c r="R102" s="207">
        <v>0</v>
      </c>
      <c r="S102" s="190">
        <f>SUMIFS(MasterTable[Arrears + All Contractual Commitments (value next FY)],MasterTable[[Project Code and Name ]],PAProjects[[#This Row],[LINKING_CODE]],MasterTable[Funding Source],"GoU Funded")/10^9</f>
        <v>2</v>
      </c>
      <c r="T102" s="190">
        <f>SUMIFS(MasterTable[Arrears + All Contractual Commitments (value next FY)],MasterTable[[Project Code and Name ]],PAProjects[[#This Row],[LINKING_CODE]],MasterTable[Funding Source],"External Financing")/10^9</f>
        <v>0</v>
      </c>
      <c r="U102" s="196">
        <f>PAProjects[[#This Row],[GOU 21/22]]+PAProjects[[#This Row],[DONOR 21/22]]</f>
        <v>2</v>
      </c>
      <c r="V102" s="192">
        <f>SUMIFS(MasterTable[FY1 (FY22-23)],MasterTable[[Project Code and Name ]],PAProjects[[#This Row],[LINKING_CODE]],MasterTable[Funding Source],"GoU Funded")/10^9</f>
        <v>10</v>
      </c>
      <c r="W102" s="193">
        <f>SUMIFS(MasterTable[FY1 (FY22-23)],MasterTable[[Project Code and Name ]],PAProjects[[#This Row],[LINKING_CODE]],MasterTable[Funding Source],"External Financing")/10^9</f>
        <v>265.95</v>
      </c>
      <c r="X102" s="196">
        <f>PAProjects[[#This Row],[GOU 22/23]]+PAProjects[[#This Row],[DONOR 22/23]]</f>
        <v>275.95</v>
      </c>
      <c r="Y102" s="193">
        <f>SUMIFS(MasterTable[FY2 (FY23-24)],MasterTable[[Project Code and Name ]],PAProjects[[#This Row],[LINKING_CODE]],MasterTable[Funding Source],"GoU Funded")/10^9</f>
        <v>6</v>
      </c>
      <c r="Z102" s="193">
        <f>SUMIFS(MasterTable[FY2 (FY23-24)],MasterTable[[Project Code and Name ]],PAProjects[[#This Row],[LINKING_CODE]],MasterTable[Funding Source],"External Financing")/10^9</f>
        <v>271.00667285999998</v>
      </c>
      <c r="AA102" s="196">
        <f t="shared" si="7"/>
        <v>277.00667285999998</v>
      </c>
      <c r="AB102" s="193">
        <f>SUMIFS(MasterTable[FY3 (FY24-25)],MasterTable[[Project Code and Name ]],PAProjects[[#This Row],[LINKING_CODE]],MasterTable[Funding Source],"GoU Funded")/10^9</f>
        <v>8</v>
      </c>
      <c r="AC102" s="193">
        <f>SUMIFS(MasterTable[FY3 (FY24-25)],MasterTable[[Project Code and Name ]],PAProjects[[#This Row],[LINKING_CODE]],MasterTable[Funding Source],"External Financing")/10^9</f>
        <v>391.50494063999997</v>
      </c>
      <c r="AD102" s="202">
        <f>PAProjects[[#This Row],[GOU 24/25]]+PAProjects[[#This Row],[DONOR 24/25]]</f>
        <v>399.50494063999997</v>
      </c>
    </row>
    <row r="103" spans="1:30" ht="15" customHeight="1" x14ac:dyDescent="0.25">
      <c r="A103" s="180" t="s">
        <v>100</v>
      </c>
      <c r="B103" s="175" t="s">
        <v>442</v>
      </c>
      <c r="C103" s="175" t="e">
        <f ca="1">PAProjects[[#This Row],[LINKING_CODE]]=_xlfn.CONCAT(PAProjects[[#This Row],[Project Code]]," ",PAProjects[[#This Row],[Project Name]])</f>
        <v>#NAME?</v>
      </c>
      <c r="D103" s="175" t="str">
        <f>VLOOKUP(PAProjects[[#This Row],[LINKING_CODE]],MasterTable[[Project Code and Name ]],1,FALSE)</f>
        <v>1564 Community Roads Improvement Project</v>
      </c>
      <c r="E103" s="175" t="s">
        <v>515</v>
      </c>
      <c r="F103" s="175" t="s">
        <v>944</v>
      </c>
      <c r="G103" s="175" t="s">
        <v>99</v>
      </c>
      <c r="H103" s="175" t="str">
        <f>VLOOKUP(I103,'Program Codes'!C:D,2,FALSE)</f>
        <v>08</v>
      </c>
      <c r="I103" s="175" t="s">
        <v>1007</v>
      </c>
      <c r="J103" s="175" t="s">
        <v>1023</v>
      </c>
      <c r="K103" s="175" t="s">
        <v>643</v>
      </c>
      <c r="L103" s="175" t="s">
        <v>1509</v>
      </c>
      <c r="M103" s="182">
        <v>44013</v>
      </c>
      <c r="N103" s="182">
        <v>45838</v>
      </c>
      <c r="O103" s="197">
        <v>391.6</v>
      </c>
      <c r="P103" s="208">
        <v>0</v>
      </c>
      <c r="Q103" s="174">
        <f t="shared" si="8"/>
        <v>391.6</v>
      </c>
      <c r="R103" s="189">
        <v>0</v>
      </c>
      <c r="S103" s="190">
        <f>SUMIFS(MasterTable[Arrears + All Contractual Commitments (value next FY)],MasterTable[[Project Code and Name ]],PAProjects[[#This Row],[LINKING_CODE]],MasterTable[Funding Source],"GoU Funded")/10^9</f>
        <v>50</v>
      </c>
      <c r="T103" s="190">
        <f>SUMIFS(MasterTable[Arrears + All Contractual Commitments (value next FY)],MasterTable[[Project Code and Name ]],PAProjects[[#This Row],[LINKING_CODE]],MasterTable[Funding Source],"External Financing")/10^9</f>
        <v>0</v>
      </c>
      <c r="U103" s="202">
        <f>PAProjects[[#This Row],[GOU 21/22]]+PAProjects[[#This Row],[DONOR 21/22]]</f>
        <v>50</v>
      </c>
      <c r="V103" s="192">
        <f>SUMIFS(MasterTable[FY1 (FY22-23)],MasterTable[[Project Code and Name ]],PAProjects[[#This Row],[LINKING_CODE]],MasterTable[Funding Source],"GoU Funded")/10^9</f>
        <v>98.656000000000006</v>
      </c>
      <c r="W103" s="193">
        <f>SUMIFS(MasterTable[FY1 (FY22-23)],MasterTable[[Project Code and Name ]],PAProjects[[#This Row],[LINKING_CODE]],MasterTable[Funding Source],"External Financing")/10^9</f>
        <v>0</v>
      </c>
      <c r="X103" s="202">
        <f>PAProjects[[#This Row],[GOU 22/23]]+PAProjects[[#This Row],[DONOR 22/23]]</f>
        <v>98.656000000000006</v>
      </c>
      <c r="Y103" s="193">
        <f>SUMIFS(MasterTable[FY2 (FY23-24)],MasterTable[[Project Code and Name ]],PAProjects[[#This Row],[LINKING_CODE]],MasterTable[Funding Source],"GoU Funded")/10^9</f>
        <v>78.328000000000003</v>
      </c>
      <c r="Z103" s="193">
        <f>SUMIFS(MasterTable[FY2 (FY23-24)],MasterTable[[Project Code and Name ]],PAProjects[[#This Row],[LINKING_CODE]],MasterTable[Funding Source],"External Financing")/10^9</f>
        <v>0</v>
      </c>
      <c r="AA103" s="202">
        <f t="shared" si="7"/>
        <v>78.328000000000003</v>
      </c>
      <c r="AB103" s="193">
        <f>SUMIFS(MasterTable[FY3 (FY24-25)],MasterTable[[Project Code and Name ]],PAProjects[[#This Row],[LINKING_CODE]],MasterTable[Funding Source],"GoU Funded")/10^9</f>
        <v>78.328000000000003</v>
      </c>
      <c r="AC103" s="193">
        <f>SUMIFS(MasterTable[FY3 (FY24-25)],MasterTable[[Project Code and Name ]],PAProjects[[#This Row],[LINKING_CODE]],MasterTable[Funding Source],"External Financing")/10^9</f>
        <v>0</v>
      </c>
      <c r="AD103" s="202">
        <f>PAProjects[[#This Row],[GOU 24/25]]+PAProjects[[#This Row],[DONOR 24/25]]</f>
        <v>78.328000000000003</v>
      </c>
    </row>
    <row r="104" spans="1:30" ht="15" customHeight="1" x14ac:dyDescent="0.25">
      <c r="A104" s="180" t="s">
        <v>101</v>
      </c>
      <c r="B104" s="175" t="s">
        <v>91</v>
      </c>
      <c r="C104" s="175" t="e">
        <f ca="1">PAProjects[[#This Row],[LINKING_CODE]]=_xlfn.CONCAT(PAProjects[[#This Row],[Project Code]]," ",PAProjects[[#This Row],[Project Name]])</f>
        <v>#NAME?</v>
      </c>
      <c r="D104" s="175" t="str">
        <f>VLOOKUP(PAProjects[[#This Row],[LINKING_CODE]],MasterTable[[Project Code and Name ]],1,FALSE)</f>
        <v>1566 Retooling of Ministry of Health</v>
      </c>
      <c r="E104" s="175" t="s">
        <v>520</v>
      </c>
      <c r="F104" s="175" t="s">
        <v>975</v>
      </c>
      <c r="G104" s="175" t="s">
        <v>97</v>
      </c>
      <c r="H104" s="175" t="str">
        <f>VLOOKUP(I104,'Program Codes'!C:D,2,FALSE)</f>
        <v>13</v>
      </c>
      <c r="I104" s="175" t="s">
        <v>1113</v>
      </c>
      <c r="J104" s="175" t="s">
        <v>1143</v>
      </c>
      <c r="K104" s="175" t="s">
        <v>728</v>
      </c>
      <c r="L104" s="175" t="str">
        <f t="shared" ref="L104:L128" si="9">IF(ISERROR(SEARCH("Retooling",K104))=FALSE,"Retooling","")</f>
        <v>Retooling</v>
      </c>
      <c r="M104" s="182">
        <v>44013</v>
      </c>
      <c r="N104" s="182">
        <v>45838</v>
      </c>
      <c r="O104" s="183">
        <v>24.8</v>
      </c>
      <c r="P104" s="174"/>
      <c r="Q104" s="174">
        <f t="shared" si="8"/>
        <v>24.8</v>
      </c>
      <c r="R104" s="189">
        <v>0</v>
      </c>
      <c r="S104" s="190">
        <f>SUMIFS(MasterTable[Arrears + All Contractual Commitments (value next FY)],MasterTable[[Project Code and Name ]],PAProjects[[#This Row],[LINKING_CODE]],MasterTable[Funding Source],"GoU Funded")/10^9</f>
        <v>21.271167287000001</v>
      </c>
      <c r="T104" s="190">
        <f>SUMIFS(MasterTable[Arrears + All Contractual Commitments (value next FY)],MasterTable[[Project Code and Name ]],PAProjects[[#This Row],[LINKING_CODE]],MasterTable[Funding Source],"External Financing")/10^9</f>
        <v>0</v>
      </c>
      <c r="U104" s="202">
        <f>PAProjects[[#This Row],[GOU 21/22]]+PAProjects[[#This Row],[DONOR 21/22]]</f>
        <v>21.271167287000001</v>
      </c>
      <c r="V104" s="192">
        <f>SUMIFS(MasterTable[FY1 (FY22-23)],MasterTable[[Project Code and Name ]],PAProjects[[#This Row],[LINKING_CODE]],MasterTable[Funding Source],"GoU Funded")/10^9</f>
        <v>1.4711672870000001</v>
      </c>
      <c r="W104" s="193">
        <f>SUMIFS(MasterTable[FY1 (FY22-23)],MasterTable[[Project Code and Name ]],PAProjects[[#This Row],[LINKING_CODE]],MasterTable[Funding Source],"External Financing")/10^9</f>
        <v>0</v>
      </c>
      <c r="X104" s="202">
        <f>PAProjects[[#This Row],[GOU 22/23]]+PAProjects[[#This Row],[DONOR 22/23]]</f>
        <v>1.4711672870000001</v>
      </c>
      <c r="Y104" s="193">
        <f>SUMIFS(MasterTable[FY2 (FY23-24)],MasterTable[[Project Code and Name ]],PAProjects[[#This Row],[LINKING_CODE]],MasterTable[Funding Source],"GoU Funded")/10^9</f>
        <v>2.6911672869999999</v>
      </c>
      <c r="Z104" s="193">
        <f>SUMIFS(MasterTable[FY2 (FY23-24)],MasterTable[[Project Code and Name ]],PAProjects[[#This Row],[LINKING_CODE]],MasterTable[Funding Source],"External Financing")/10^9</f>
        <v>0</v>
      </c>
      <c r="AA104" s="202">
        <f t="shared" si="7"/>
        <v>2.6911672869999999</v>
      </c>
      <c r="AB104" s="193">
        <f>SUMIFS(MasterTable[FY3 (FY24-25)],MasterTable[[Project Code and Name ]],PAProjects[[#This Row],[LINKING_CODE]],MasterTable[Funding Source],"GoU Funded")/10^9</f>
        <v>2.855</v>
      </c>
      <c r="AC104" s="193">
        <f>SUMIFS(MasterTable[FY3 (FY24-25)],MasterTable[[Project Code and Name ]],PAProjects[[#This Row],[LINKING_CODE]],MasterTable[Funding Source],"External Financing")/10^9</f>
        <v>0</v>
      </c>
      <c r="AD104" s="202">
        <f>PAProjects[[#This Row],[GOU 24/25]]+PAProjects[[#This Row],[DONOR 24/25]]</f>
        <v>2.855</v>
      </c>
    </row>
    <row r="105" spans="1:30" ht="15" customHeight="1" x14ac:dyDescent="0.25">
      <c r="A105" s="180" t="s">
        <v>102</v>
      </c>
      <c r="B105" s="175" t="s">
        <v>64</v>
      </c>
      <c r="C105" s="175" t="e">
        <f ca="1">PAProjects[[#This Row],[LINKING_CODE]]=_xlfn.CONCAT(PAProjects[[#This Row],[Project Code]]," ",PAProjects[[#This Row],[Project Name]])</f>
        <v>#NAME?</v>
      </c>
      <c r="D105" s="175" t="str">
        <f>VLOOKUP(PAProjects[[#This Row],[LINKING_CODE]],MasterTable[[Project Code and Name ]],1,FALSE)</f>
        <v>1594 Retooling of Ministry of Energy and Mineral Development (PhaseII)</v>
      </c>
      <c r="E105" s="175" t="s">
        <v>513</v>
      </c>
      <c r="F105" s="175" t="s">
        <v>1089</v>
      </c>
      <c r="G105" s="175" t="s">
        <v>66</v>
      </c>
      <c r="H105" s="175" t="str">
        <f>VLOOKUP(I105,'Program Codes'!C:D,2,FALSE)</f>
        <v>13</v>
      </c>
      <c r="I105" s="175" t="s">
        <v>1113</v>
      </c>
      <c r="J105" s="175" t="s">
        <v>1117</v>
      </c>
      <c r="K105" s="175" t="s">
        <v>1118</v>
      </c>
      <c r="L105" s="175" t="str">
        <f t="shared" si="9"/>
        <v>Retooling</v>
      </c>
      <c r="M105" s="182">
        <v>44013</v>
      </c>
      <c r="N105" s="182">
        <v>45838</v>
      </c>
      <c r="O105" s="198">
        <v>174</v>
      </c>
      <c r="P105" s="174"/>
      <c r="Q105" s="174">
        <f t="shared" si="8"/>
        <v>174</v>
      </c>
      <c r="R105" s="189">
        <v>0</v>
      </c>
      <c r="S105" s="190">
        <f>SUMIFS(MasterTable[Arrears + All Contractual Commitments (value next FY)],MasterTable[[Project Code and Name ]],PAProjects[[#This Row],[LINKING_CODE]],MasterTable[Funding Source],"GoU Funded")/10^9</f>
        <v>29.9</v>
      </c>
      <c r="T105" s="190">
        <f>SUMIFS(MasterTable[Arrears + All Contractual Commitments (value next FY)],MasterTable[[Project Code and Name ]],PAProjects[[#This Row],[LINKING_CODE]],MasterTable[Funding Source],"External Financing")/10^9</f>
        <v>0</v>
      </c>
      <c r="U105" s="202">
        <f>PAProjects[[#This Row],[GOU 21/22]]+PAProjects[[#This Row],[DONOR 21/22]]</f>
        <v>29.9</v>
      </c>
      <c r="V105" s="192">
        <f>SUMIFS(MasterTable[FY1 (FY22-23)],MasterTable[[Project Code and Name ]],PAProjects[[#This Row],[LINKING_CODE]],MasterTable[Funding Source],"GoU Funded")/10^9</f>
        <v>43.002028000000003</v>
      </c>
      <c r="W105" s="193">
        <f>SUMIFS(MasterTable[FY1 (FY22-23)],MasterTable[[Project Code and Name ]],PAProjects[[#This Row],[LINKING_CODE]],MasterTable[Funding Source],"External Financing")/10^9</f>
        <v>0</v>
      </c>
      <c r="X105" s="202">
        <f>PAProjects[[#This Row],[GOU 22/23]]+PAProjects[[#This Row],[DONOR 22/23]]</f>
        <v>43.002028000000003</v>
      </c>
      <c r="Y105" s="193">
        <f>SUMIFS(MasterTable[FY2 (FY23-24)],MasterTable[[Project Code and Name ]],PAProjects[[#This Row],[LINKING_CODE]],MasterTable[Funding Source],"GoU Funded")/10^9</f>
        <v>47.002028000000003</v>
      </c>
      <c r="Z105" s="193">
        <f>SUMIFS(MasterTable[FY2 (FY23-24)],MasterTable[[Project Code and Name ]],PAProjects[[#This Row],[LINKING_CODE]],MasterTable[Funding Source],"External Financing")/10^9</f>
        <v>0</v>
      </c>
      <c r="AA105" s="202">
        <f t="shared" si="7"/>
        <v>47.002028000000003</v>
      </c>
      <c r="AB105" s="193">
        <f>SUMIFS(MasterTable[FY3 (FY24-25)],MasterTable[[Project Code and Name ]],PAProjects[[#This Row],[LINKING_CODE]],MasterTable[Funding Source],"GoU Funded")/10^9</f>
        <v>44.002028000000003</v>
      </c>
      <c r="AC105" s="193">
        <f>SUMIFS(MasterTable[FY3 (FY24-25)],MasterTable[[Project Code and Name ]],PAProjects[[#This Row],[LINKING_CODE]],MasterTable[Funding Source],"External Financing")/10^9</f>
        <v>0</v>
      </c>
      <c r="AD105" s="202">
        <f>PAProjects[[#This Row],[GOU 24/25]]+PAProjects[[#This Row],[DONOR 24/25]]</f>
        <v>44.002028000000003</v>
      </c>
    </row>
    <row r="106" spans="1:30" ht="15" customHeight="1" x14ac:dyDescent="0.25">
      <c r="A106" s="180" t="s">
        <v>103</v>
      </c>
      <c r="B106" s="175" t="s">
        <v>362</v>
      </c>
      <c r="C106" s="175" t="e">
        <f ca="1">PAProjects[[#This Row],[LINKING_CODE]]=_xlfn.CONCAT(PAProjects[[#This Row],[Project Code]]," ",PAProjects[[#This Row],[Project Name]])</f>
        <v>#NAME?</v>
      </c>
      <c r="D106" s="175" t="str">
        <f>VLOOKUP(PAProjects[[#This Row],[LINKING_CODE]],MasterTable[[Project Code and Name ]],1,FALSE)</f>
        <v>1597 Retooling of Ministry of Science, Technology and Innovation</v>
      </c>
      <c r="E106" s="175" t="s">
        <v>537</v>
      </c>
      <c r="F106" s="175" t="s">
        <v>997</v>
      </c>
      <c r="G106" s="175" t="s">
        <v>72</v>
      </c>
      <c r="H106" s="175" t="str">
        <f>VLOOKUP(I106,'Program Codes'!C:D,2,FALSE)</f>
        <v>13</v>
      </c>
      <c r="I106" s="175" t="s">
        <v>1113</v>
      </c>
      <c r="J106" s="175" t="s">
        <v>1226</v>
      </c>
      <c r="K106" s="175" t="s">
        <v>1227</v>
      </c>
      <c r="L106" s="175" t="str">
        <f t="shared" si="9"/>
        <v>Retooling</v>
      </c>
      <c r="M106" s="188">
        <v>44013</v>
      </c>
      <c r="N106" s="182">
        <v>45838</v>
      </c>
      <c r="O106" s="204">
        <v>52.32</v>
      </c>
      <c r="P106" s="174"/>
      <c r="Q106" s="174">
        <f t="shared" si="8"/>
        <v>52.32</v>
      </c>
      <c r="R106" s="189">
        <v>0</v>
      </c>
      <c r="S106" s="190">
        <f>SUMIFS(MasterTable[Arrears + All Contractual Commitments (value next FY)],MasterTable[[Project Code and Name ]],PAProjects[[#This Row],[LINKING_CODE]],MasterTable[Funding Source],"GoU Funded")/10^9</f>
        <v>207.71100000000001</v>
      </c>
      <c r="T106" s="190">
        <f>SUMIFS(MasterTable[Arrears + All Contractual Commitments (value next FY)],MasterTable[[Project Code and Name ]],PAProjects[[#This Row],[LINKING_CODE]],MasterTable[Funding Source],"External Financing")/10^9</f>
        <v>0</v>
      </c>
      <c r="U106" s="202">
        <f>PAProjects[[#This Row],[GOU 21/22]]+PAProjects[[#This Row],[DONOR 21/22]]</f>
        <v>207.71100000000001</v>
      </c>
      <c r="V106" s="192">
        <f>SUMIFS(MasterTable[FY1 (FY22-23)],MasterTable[[Project Code and Name ]],PAProjects[[#This Row],[LINKING_CODE]],MasterTable[Funding Source],"GoU Funded")/10^9</f>
        <v>188.86510000000001</v>
      </c>
      <c r="W106" s="193">
        <f>SUMIFS(MasterTable[FY1 (FY22-23)],MasterTable[[Project Code and Name ]],PAProjects[[#This Row],[LINKING_CODE]],MasterTable[Funding Source],"External Financing")/10^9</f>
        <v>0</v>
      </c>
      <c r="X106" s="202">
        <f>PAProjects[[#This Row],[GOU 22/23]]+PAProjects[[#This Row],[DONOR 22/23]]</f>
        <v>188.86510000000001</v>
      </c>
      <c r="Y106" s="193">
        <f>SUMIFS(MasterTable[FY2 (FY23-24)],MasterTable[[Project Code and Name ]],PAProjects[[#This Row],[LINKING_CODE]],MasterTable[Funding Source],"GoU Funded")/10^9</f>
        <v>270.49840999999998</v>
      </c>
      <c r="Z106" s="193">
        <f>SUMIFS(MasterTable[FY2 (FY23-24)],MasterTable[[Project Code and Name ]],PAProjects[[#This Row],[LINKING_CODE]],MasterTable[Funding Source],"External Financing")/10^9</f>
        <v>0</v>
      </c>
      <c r="AA106" s="202">
        <f>SUM(Y106:Z106)</f>
        <v>270.49840999999998</v>
      </c>
      <c r="AB106" s="193">
        <f>SUMIFS(MasterTable[FY3 (FY24-25)],MasterTable[[Project Code and Name ]],PAProjects[[#This Row],[LINKING_CODE]],MasterTable[Funding Source],"GoU Funded")/10^9</f>
        <v>7.0549999999999997</v>
      </c>
      <c r="AC106" s="193">
        <f>SUMIFS(MasterTable[FY3 (FY24-25)],MasterTable[[Project Code and Name ]],PAProjects[[#This Row],[LINKING_CODE]],MasterTable[Funding Source],"External Financing")/10^9</f>
        <v>0</v>
      </c>
      <c r="AD106" s="202">
        <f>PAProjects[[#This Row],[GOU 24/25]]+PAProjects[[#This Row],[DONOR 24/25]]</f>
        <v>7.0549999999999997</v>
      </c>
    </row>
    <row r="107" spans="1:30" ht="15" customHeight="1" x14ac:dyDescent="0.25">
      <c r="A107" s="180" t="s">
        <v>104</v>
      </c>
      <c r="B107" s="175" t="s">
        <v>342</v>
      </c>
      <c r="C107" s="175" t="e">
        <f ca="1">PAProjects[[#This Row],[LINKING_CODE]]=_xlfn.CONCAT(PAProjects[[#This Row],[Project Code]]," ",PAProjects[[#This Row],[Project Name]])</f>
        <v>#NAME?</v>
      </c>
      <c r="D107" s="175" t="str">
        <f>VLOOKUP(PAProjects[[#This Row],[LINKING_CODE]],MasterTable[[Project Code and Name ]],1,FALSE)</f>
        <v>1600 Retooling of Ministry of ICT &amp; National Guidance</v>
      </c>
      <c r="E107" s="175" t="s">
        <v>516</v>
      </c>
      <c r="F107" s="175" t="s">
        <v>948</v>
      </c>
      <c r="G107" s="175" t="s">
        <v>69</v>
      </c>
      <c r="H107" s="175" t="str">
        <f>VLOOKUP(I107,'Program Codes'!C:D,2,FALSE)</f>
        <v>13</v>
      </c>
      <c r="I107" s="175" t="s">
        <v>1113</v>
      </c>
      <c r="J107" s="175" t="s">
        <v>1123</v>
      </c>
      <c r="K107" s="175" t="s">
        <v>659</v>
      </c>
      <c r="L107" s="175" t="str">
        <f t="shared" si="9"/>
        <v>Retooling</v>
      </c>
      <c r="M107" s="182">
        <v>44013</v>
      </c>
      <c r="N107" s="182">
        <v>45838</v>
      </c>
      <c r="O107" s="174">
        <v>7</v>
      </c>
      <c r="P107" s="174"/>
      <c r="Q107" s="174">
        <f t="shared" si="8"/>
        <v>7</v>
      </c>
      <c r="R107" s="189">
        <v>0</v>
      </c>
      <c r="S107" s="190">
        <f>SUMIFS(MasterTable[Arrears + All Contractual Commitments (value next FY)],MasterTable[[Project Code and Name ]],PAProjects[[#This Row],[LINKING_CODE]],MasterTable[Funding Source],"GoU Funded")/10^9</f>
        <v>1.6</v>
      </c>
      <c r="T107" s="190">
        <f>SUMIFS(MasterTable[Arrears + All Contractual Commitments (value next FY)],MasterTable[[Project Code and Name ]],PAProjects[[#This Row],[LINKING_CODE]],MasterTable[Funding Source],"External Financing")/10^9</f>
        <v>0</v>
      </c>
      <c r="U107" s="202">
        <f>PAProjects[[#This Row],[GOU 21/22]]+PAProjects[[#This Row],[DONOR 21/22]]</f>
        <v>1.6</v>
      </c>
      <c r="V107" s="192">
        <f>SUMIFS(MasterTable[FY1 (FY22-23)],MasterTable[[Project Code and Name ]],PAProjects[[#This Row],[LINKING_CODE]],MasterTable[Funding Source],"GoU Funded")/10^9</f>
        <v>1.2</v>
      </c>
      <c r="W107" s="193">
        <f>SUMIFS(MasterTable[FY1 (FY22-23)],MasterTable[[Project Code and Name ]],PAProjects[[#This Row],[LINKING_CODE]],MasterTable[Funding Source],"External Financing")/10^9</f>
        <v>0</v>
      </c>
      <c r="X107" s="202">
        <f>PAProjects[[#This Row],[GOU 22/23]]+PAProjects[[#This Row],[DONOR 22/23]]</f>
        <v>1.2</v>
      </c>
      <c r="Y107" s="193">
        <f>SUMIFS(MasterTable[FY2 (FY23-24)],MasterTable[[Project Code and Name ]],PAProjects[[#This Row],[LINKING_CODE]],MasterTable[Funding Source],"GoU Funded")/10^9</f>
        <v>1.6</v>
      </c>
      <c r="Z107" s="193">
        <f>SUMIFS(MasterTable[FY2 (FY23-24)],MasterTable[[Project Code and Name ]],PAProjects[[#This Row],[LINKING_CODE]],MasterTable[Funding Source],"External Financing")/10^9</f>
        <v>0</v>
      </c>
      <c r="AA107" s="202">
        <f>Y107+Z107</f>
        <v>1.6</v>
      </c>
      <c r="AB107" s="193">
        <f>SUMIFS(MasterTable[FY3 (FY24-25)],MasterTable[[Project Code and Name ]],PAProjects[[#This Row],[LINKING_CODE]],MasterTable[Funding Source],"GoU Funded")/10^9</f>
        <v>1</v>
      </c>
      <c r="AC107" s="193">
        <f>SUMIFS(MasterTable[FY3 (FY24-25)],MasterTable[[Project Code and Name ]],PAProjects[[#This Row],[LINKING_CODE]],MasterTable[Funding Source],"External Financing")/10^9</f>
        <v>0</v>
      </c>
      <c r="AD107" s="202">
        <f>PAProjects[[#This Row],[GOU 24/25]]+PAProjects[[#This Row],[DONOR 24/25]]</f>
        <v>1</v>
      </c>
    </row>
    <row r="108" spans="1:30" ht="15" customHeight="1" x14ac:dyDescent="0.25">
      <c r="A108" s="180" t="s">
        <v>105</v>
      </c>
      <c r="B108" s="175" t="s">
        <v>367</v>
      </c>
      <c r="C108" s="175" t="e">
        <f ca="1">PAProjects[[#This Row],[LINKING_CODE]]=_xlfn.CONCAT(PAProjects[[#This Row],[Project Code]]," ",PAProjects[[#This Row],[Project Name]])</f>
        <v>#NAME?</v>
      </c>
      <c r="D108" s="175" t="str">
        <f>VLOOKUP(PAProjects[[#This Row],[LINKING_CODE]],MasterTable[[Project Code and Name ]],1,FALSE)</f>
        <v xml:space="preserve">1609 Retooling of Ministry of Tourism, Wildlife and Antiquitties </v>
      </c>
      <c r="E108" s="175" t="s">
        <v>538</v>
      </c>
      <c r="F108" s="175" t="s">
        <v>1229</v>
      </c>
      <c r="G108" s="175" t="s">
        <v>71</v>
      </c>
      <c r="H108" s="175" t="str">
        <f>VLOOKUP(I108,'Program Codes'!C:D,2,FALSE)</f>
        <v>13</v>
      </c>
      <c r="I108" s="175" t="s">
        <v>1113</v>
      </c>
      <c r="J108" s="175" t="s">
        <v>1230</v>
      </c>
      <c r="K108" s="175" t="s">
        <v>872</v>
      </c>
      <c r="L108" s="175" t="str">
        <f t="shared" si="9"/>
        <v>Retooling</v>
      </c>
      <c r="M108" s="188">
        <v>44013</v>
      </c>
      <c r="N108" s="182">
        <v>45838</v>
      </c>
      <c r="O108" s="183">
        <v>23.25</v>
      </c>
      <c r="P108" s="174"/>
      <c r="Q108" s="174">
        <f t="shared" si="8"/>
        <v>23.25</v>
      </c>
      <c r="R108" s="189">
        <v>0.5</v>
      </c>
      <c r="S108" s="190">
        <f>SUMIFS(MasterTable[Arrears + All Contractual Commitments (value next FY)],MasterTable[[Project Code and Name ]],PAProjects[[#This Row],[LINKING_CODE]],MasterTable[Funding Source],"GoU Funded")/10^9</f>
        <v>8.6320309999999996</v>
      </c>
      <c r="T108" s="190">
        <f>SUMIFS(MasterTable[Arrears + All Contractual Commitments (value next FY)],MasterTable[[Project Code and Name ]],PAProjects[[#This Row],[LINKING_CODE]],MasterTable[Funding Source],"External Financing")/10^9</f>
        <v>0</v>
      </c>
      <c r="U108" s="202">
        <f>PAProjects[[#This Row],[GOU 21/22]]+PAProjects[[#This Row],[DONOR 21/22]]</f>
        <v>8.6320309999999996</v>
      </c>
      <c r="V108" s="192">
        <f>SUMIFS(MasterTable[FY1 (FY22-23)],MasterTable[[Project Code and Name ]],PAProjects[[#This Row],[LINKING_CODE]],MasterTable[Funding Source],"GoU Funded")/10^9</f>
        <v>5.24</v>
      </c>
      <c r="W108" s="193">
        <f>SUMIFS(MasterTable[FY1 (FY22-23)],MasterTable[[Project Code and Name ]],PAProjects[[#This Row],[LINKING_CODE]],MasterTable[Funding Source],"External Financing")/10^9</f>
        <v>0</v>
      </c>
      <c r="X108" s="202">
        <f>PAProjects[[#This Row],[GOU 22/23]]+PAProjects[[#This Row],[DONOR 22/23]]</f>
        <v>5.24</v>
      </c>
      <c r="Y108" s="193">
        <f>SUMIFS(MasterTable[FY2 (FY23-24)],MasterTable[[Project Code and Name ]],PAProjects[[#This Row],[LINKING_CODE]],MasterTable[Funding Source],"GoU Funded")/10^9</f>
        <v>4.3600000000000003</v>
      </c>
      <c r="Z108" s="193">
        <f>SUMIFS(MasterTable[FY2 (FY23-24)],MasterTable[[Project Code and Name ]],PAProjects[[#This Row],[LINKING_CODE]],MasterTable[Funding Source],"External Financing")/10^9</f>
        <v>0</v>
      </c>
      <c r="AA108" s="202">
        <f>SUM(Y108:Z108)</f>
        <v>4.3600000000000003</v>
      </c>
      <c r="AB108" s="193">
        <f>SUMIFS(MasterTable[FY3 (FY24-25)],MasterTable[[Project Code and Name ]],PAProjects[[#This Row],[LINKING_CODE]],MasterTable[Funding Source],"GoU Funded")/10^9</f>
        <v>3.9</v>
      </c>
      <c r="AC108" s="193">
        <f>SUMIFS(MasterTable[FY3 (FY24-25)],MasterTable[[Project Code and Name ]],PAProjects[[#This Row],[LINKING_CODE]],MasterTable[Funding Source],"External Financing")/10^9</f>
        <v>0</v>
      </c>
      <c r="AD108" s="202">
        <f>PAProjects[[#This Row],[GOU 24/25]]+PAProjects[[#This Row],[DONOR 24/25]]</f>
        <v>3.9</v>
      </c>
    </row>
    <row r="109" spans="1:30" ht="15" customHeight="1" x14ac:dyDescent="0.25">
      <c r="A109" s="180" t="s">
        <v>106</v>
      </c>
      <c r="B109" s="175" t="s">
        <v>58</v>
      </c>
      <c r="C109" s="175" t="e">
        <f ca="1">PAProjects[[#This Row],[LINKING_CODE]]=_xlfn.CONCAT(PAProjects[[#This Row],[Project Code]]," ",PAProjects[[#This Row],[Project Name]])</f>
        <v>#NAME?</v>
      </c>
      <c r="D109" s="175" t="str">
        <f>VLOOKUP(PAProjects[[#This Row],[LINKING_CODE]],MasterTable[[Project Code and Name ]],1,FALSE)</f>
        <v>1610 Liquefied Petroleum Gas (LPG) Supply and Infrastructure Intervention</v>
      </c>
      <c r="E109" s="175" t="s">
        <v>513</v>
      </c>
      <c r="F109" s="175" t="s">
        <v>1089</v>
      </c>
      <c r="G109" s="175" t="s">
        <v>66</v>
      </c>
      <c r="H109" s="175" t="str">
        <f>VLOOKUP(I109,'Program Codes'!C:D,2,FALSE)</f>
        <v>11</v>
      </c>
      <c r="I109" s="175" t="s">
        <v>1095</v>
      </c>
      <c r="J109" s="175" t="s">
        <v>1102</v>
      </c>
      <c r="K109" s="175" t="s">
        <v>582</v>
      </c>
      <c r="L109" s="175" t="s">
        <v>1509</v>
      </c>
      <c r="M109" s="182">
        <v>44013</v>
      </c>
      <c r="N109" s="182">
        <v>45838</v>
      </c>
      <c r="O109" s="198">
        <v>970</v>
      </c>
      <c r="P109" s="174"/>
      <c r="Q109" s="174">
        <f t="shared" si="8"/>
        <v>970</v>
      </c>
      <c r="R109" s="189">
        <v>0</v>
      </c>
      <c r="S109" s="190">
        <f>SUMIFS(MasterTable[Arrears + All Contractual Commitments (value next FY)],MasterTable[[Project Code and Name ]],PAProjects[[#This Row],[LINKING_CODE]],MasterTable[Funding Source],"GoU Funded")/10^9</f>
        <v>20.51</v>
      </c>
      <c r="T109" s="190">
        <f>SUMIFS(MasterTable[Arrears + All Contractual Commitments (value next FY)],MasterTable[[Project Code and Name ]],PAProjects[[#This Row],[LINKING_CODE]],MasterTable[Funding Source],"External Financing")/10^9</f>
        <v>0</v>
      </c>
      <c r="U109" s="191">
        <f>PAProjects[[#This Row],[GOU 21/22]]+PAProjects[[#This Row],[DONOR 21/22]]</f>
        <v>20.51</v>
      </c>
      <c r="V109" s="192">
        <f>SUMIFS(MasterTable[FY1 (FY22-23)],MasterTable[[Project Code and Name ]],PAProjects[[#This Row],[LINKING_CODE]],MasterTable[Funding Source],"GoU Funded")/10^9</f>
        <v>180</v>
      </c>
      <c r="W109" s="193">
        <f>SUMIFS(MasterTable[FY1 (FY22-23)],MasterTable[[Project Code and Name ]],PAProjects[[#This Row],[LINKING_CODE]],MasterTable[Funding Source],"External Financing")/10^9</f>
        <v>0</v>
      </c>
      <c r="X109" s="191">
        <f>PAProjects[[#This Row],[GOU 22/23]]+PAProjects[[#This Row],[DONOR 22/23]]</f>
        <v>180</v>
      </c>
      <c r="Y109" s="193">
        <f>SUMIFS(MasterTable[FY2 (FY23-24)],MasterTable[[Project Code and Name ]],PAProjects[[#This Row],[LINKING_CODE]],MasterTable[Funding Source],"GoU Funded")/10^9</f>
        <v>180</v>
      </c>
      <c r="Z109" s="193">
        <f>SUMIFS(MasterTable[FY2 (FY23-24)],MasterTable[[Project Code and Name ]],PAProjects[[#This Row],[LINKING_CODE]],MasterTable[Funding Source],"External Financing")/10^9</f>
        <v>0</v>
      </c>
      <c r="AA109" s="175">
        <f>Y109+Z109</f>
        <v>180</v>
      </c>
      <c r="AB109" s="193">
        <f>SUMIFS(MasterTable[FY3 (FY24-25)],MasterTable[[Project Code and Name ]],PAProjects[[#This Row],[LINKING_CODE]],MasterTable[Funding Source],"GoU Funded")/10^9</f>
        <v>200</v>
      </c>
      <c r="AC109" s="193">
        <f>SUMIFS(MasterTable[FY3 (FY24-25)],MasterTable[[Project Code and Name ]],PAProjects[[#This Row],[LINKING_CODE]],MasterTable[Funding Source],"External Financing")/10^9</f>
        <v>0</v>
      </c>
      <c r="AD109" s="202">
        <f>PAProjects[[#This Row],[GOU 24/25]]+PAProjects[[#This Row],[DONOR 24/25]]</f>
        <v>200</v>
      </c>
    </row>
    <row r="110" spans="1:30" ht="15" customHeight="1" x14ac:dyDescent="0.25">
      <c r="A110" s="180" t="s">
        <v>107</v>
      </c>
      <c r="B110" s="175" t="s">
        <v>60</v>
      </c>
      <c r="C110" s="175" t="e">
        <f ca="1">PAProjects[[#This Row],[LINKING_CODE]]=_xlfn.CONCAT(PAProjects[[#This Row],[Project Code]]," ",PAProjects[[#This Row],[Project Name]])</f>
        <v>#NAME?</v>
      </c>
      <c r="D110" s="175" t="str">
        <f>VLOOKUP(PAProjects[[#This Row],[LINKING_CODE]],MasterTable[[Project Code and Name ]],1,FALSE)</f>
        <v>1611 Petroleum Exploration and Promotion Frontier Basins</v>
      </c>
      <c r="E110" s="175" t="s">
        <v>513</v>
      </c>
      <c r="F110" s="175" t="s">
        <v>1089</v>
      </c>
      <c r="G110" s="175" t="s">
        <v>66</v>
      </c>
      <c r="H110" s="175" t="str">
        <f>VLOOKUP(I110,'Program Codes'!C:D,2,FALSE)</f>
        <v>11</v>
      </c>
      <c r="I110" s="175" t="s">
        <v>1095</v>
      </c>
      <c r="J110" s="175" t="s">
        <v>1103</v>
      </c>
      <c r="K110" s="175" t="s">
        <v>1104</v>
      </c>
      <c r="L110" s="175" t="s">
        <v>1509</v>
      </c>
      <c r="M110" s="182">
        <v>44013</v>
      </c>
      <c r="N110" s="182">
        <v>45838</v>
      </c>
      <c r="O110" s="198">
        <v>101.2</v>
      </c>
      <c r="P110" s="174"/>
      <c r="Q110" s="174">
        <f t="shared" si="8"/>
        <v>101.2</v>
      </c>
      <c r="R110" s="189">
        <v>0</v>
      </c>
      <c r="S110" s="190">
        <f>SUMIFS(MasterTable[Arrears + All Contractual Commitments (value next FY)],MasterTable[[Project Code and Name ]],PAProjects[[#This Row],[LINKING_CODE]],MasterTable[Funding Source],"GoU Funded")/10^9</f>
        <v>5</v>
      </c>
      <c r="T110" s="190">
        <f>SUMIFS(MasterTable[Arrears + All Contractual Commitments (value next FY)],MasterTable[[Project Code and Name ]],PAProjects[[#This Row],[LINKING_CODE]],MasterTable[Funding Source],"External Financing")/10^9</f>
        <v>0</v>
      </c>
      <c r="U110" s="191">
        <f>PAProjects[[#This Row],[GOU 21/22]]+PAProjects[[#This Row],[DONOR 21/22]]</f>
        <v>5</v>
      </c>
      <c r="V110" s="192">
        <f>SUMIFS(MasterTable[FY1 (FY22-23)],MasterTable[[Project Code and Name ]],PAProjects[[#This Row],[LINKING_CODE]],MasterTable[Funding Source],"GoU Funded")/10^9</f>
        <v>35</v>
      </c>
      <c r="W110" s="193">
        <f>SUMIFS(MasterTable[FY1 (FY22-23)],MasterTable[[Project Code and Name ]],PAProjects[[#This Row],[LINKING_CODE]],MasterTable[Funding Source],"External Financing")/10^9</f>
        <v>0</v>
      </c>
      <c r="X110" s="191">
        <f>PAProjects[[#This Row],[GOU 22/23]]+PAProjects[[#This Row],[DONOR 22/23]]</f>
        <v>35</v>
      </c>
      <c r="Y110" s="193">
        <f>SUMIFS(MasterTable[FY2 (FY23-24)],MasterTable[[Project Code and Name ]],PAProjects[[#This Row],[LINKING_CODE]],MasterTable[Funding Source],"GoU Funded")/10^9</f>
        <v>35</v>
      </c>
      <c r="Z110" s="193">
        <f>SUMIFS(MasterTable[FY2 (FY23-24)],MasterTable[[Project Code and Name ]],PAProjects[[#This Row],[LINKING_CODE]],MasterTable[Funding Source],"External Financing")/10^9</f>
        <v>0</v>
      </c>
      <c r="AA110" s="175">
        <f>Y110+Z110</f>
        <v>35</v>
      </c>
      <c r="AB110" s="193">
        <f>SUMIFS(MasterTable[FY3 (FY24-25)],MasterTable[[Project Code and Name ]],PAProjects[[#This Row],[LINKING_CODE]],MasterTable[Funding Source],"GoU Funded")/10^9</f>
        <v>21</v>
      </c>
      <c r="AC110" s="193">
        <f>SUMIFS(MasterTable[FY3 (FY24-25)],MasterTable[[Project Code and Name ]],PAProjects[[#This Row],[LINKING_CODE]],MasterTable[Funding Source],"External Financing")/10^9</f>
        <v>0</v>
      </c>
      <c r="AD110" s="202">
        <f>PAProjects[[#This Row],[GOU 24/25]]+PAProjects[[#This Row],[DONOR 24/25]]</f>
        <v>21</v>
      </c>
    </row>
    <row r="111" spans="1:30" ht="15" customHeight="1" x14ac:dyDescent="0.25">
      <c r="A111" s="180" t="s">
        <v>108</v>
      </c>
      <c r="B111" s="175" t="s">
        <v>443</v>
      </c>
      <c r="C111" s="175" t="e">
        <f ca="1">PAProjects[[#This Row],[LINKING_CODE]]=_xlfn.CONCAT(PAProjects[[#This Row],[Project Code]]," ",PAProjects[[#This Row],[Project Name]])</f>
        <v>#NAME?</v>
      </c>
      <c r="D111" s="175" t="str">
        <f>VLOOKUP(PAProjects[[#This Row],[LINKING_CODE]],MasterTable[[Project Code and Name ]],1,FALSE)</f>
        <v>1617 Retooling of Ministry of Works and Transport</v>
      </c>
      <c r="E111" s="175" t="s">
        <v>515</v>
      </c>
      <c r="F111" s="175" t="s">
        <v>944</v>
      </c>
      <c r="G111" s="175" t="s">
        <v>99</v>
      </c>
      <c r="H111" s="175" t="str">
        <f>VLOOKUP(I111,'Program Codes'!C:D,2,FALSE)</f>
        <v>13</v>
      </c>
      <c r="I111" s="175" t="s">
        <v>1113</v>
      </c>
      <c r="J111" s="175" t="s">
        <v>1120</v>
      </c>
      <c r="K111" s="175" t="s">
        <v>647</v>
      </c>
      <c r="L111" s="175" t="str">
        <f t="shared" si="9"/>
        <v>Retooling</v>
      </c>
      <c r="M111" s="182">
        <v>44013</v>
      </c>
      <c r="N111" s="182">
        <v>45838</v>
      </c>
      <c r="O111" s="183">
        <v>105</v>
      </c>
      <c r="P111" s="184">
        <v>0</v>
      </c>
      <c r="Q111" s="174">
        <f t="shared" si="8"/>
        <v>105</v>
      </c>
      <c r="R111" s="189">
        <v>0</v>
      </c>
      <c r="S111" s="190">
        <f>SUMIFS(MasterTable[Arrears + All Contractual Commitments (value next FY)],MasterTable[[Project Code and Name ]],PAProjects[[#This Row],[LINKING_CODE]],MasterTable[Funding Source],"GoU Funded")/10^9</f>
        <v>6.56</v>
      </c>
      <c r="T111" s="190">
        <f>SUMIFS(MasterTable[Arrears + All Contractual Commitments (value next FY)],MasterTable[[Project Code and Name ]],PAProjects[[#This Row],[LINKING_CODE]],MasterTable[Funding Source],"External Financing")/10^9</f>
        <v>0</v>
      </c>
      <c r="U111" s="202">
        <f>PAProjects[[#This Row],[GOU 21/22]]+PAProjects[[#This Row],[DONOR 21/22]]</f>
        <v>6.56</v>
      </c>
      <c r="V111" s="192">
        <f>SUMIFS(MasterTable[FY1 (FY22-23)],MasterTable[[Project Code and Name ]],PAProjects[[#This Row],[LINKING_CODE]],MasterTable[Funding Source],"GoU Funded")/10^9</f>
        <v>40</v>
      </c>
      <c r="W111" s="193">
        <f>SUMIFS(MasterTable[FY1 (FY22-23)],MasterTable[[Project Code and Name ]],PAProjects[[#This Row],[LINKING_CODE]],MasterTable[Funding Source],"External Financing")/10^9</f>
        <v>0</v>
      </c>
      <c r="X111" s="202">
        <f>PAProjects[[#This Row],[GOU 22/23]]+PAProjects[[#This Row],[DONOR 22/23]]</f>
        <v>40</v>
      </c>
      <c r="Y111" s="193">
        <f>SUMIFS(MasterTable[FY2 (FY23-24)],MasterTable[[Project Code and Name ]],PAProjects[[#This Row],[LINKING_CODE]],MasterTable[Funding Source],"GoU Funded")/10^9</f>
        <v>38</v>
      </c>
      <c r="Z111" s="193">
        <f>SUMIFS(MasterTable[FY2 (FY23-24)],MasterTable[[Project Code and Name ]],PAProjects[[#This Row],[LINKING_CODE]],MasterTable[Funding Source],"External Financing")/10^9</f>
        <v>0</v>
      </c>
      <c r="AA111" s="202">
        <f>Y111+Z111</f>
        <v>38</v>
      </c>
      <c r="AB111" s="193">
        <f>SUMIFS(MasterTable[FY3 (FY24-25)],MasterTable[[Project Code and Name ]],PAProjects[[#This Row],[LINKING_CODE]],MasterTable[Funding Source],"GoU Funded")/10^9</f>
        <v>14.25</v>
      </c>
      <c r="AC111" s="193">
        <f>SUMIFS(MasterTable[FY3 (FY24-25)],MasterTable[[Project Code and Name ]],PAProjects[[#This Row],[LINKING_CODE]],MasterTable[Funding Source],"External Financing")/10^9</f>
        <v>0</v>
      </c>
      <c r="AD111" s="202">
        <f>PAProjects[[#This Row],[GOU 24/25]]+PAProjects[[#This Row],[DONOR 24/25]]</f>
        <v>14.25</v>
      </c>
    </row>
    <row r="112" spans="1:30" ht="15" customHeight="1" x14ac:dyDescent="0.25">
      <c r="A112" s="180" t="s">
        <v>109</v>
      </c>
      <c r="B112" s="175" t="s">
        <v>352</v>
      </c>
      <c r="C112" s="175" t="e">
        <f ca="1">PAProjects[[#This Row],[LINKING_CODE]]=_xlfn.CONCAT(PAProjects[[#This Row],[Project Code]]," ",PAProjects[[#This Row],[Project Name]])</f>
        <v>#NAME?</v>
      </c>
      <c r="D112" s="175" t="str">
        <f>VLOOKUP(PAProjects[[#This Row],[LINKING_CODE]],MasterTable[[Project Code and Name ]],1,FALSE)</f>
        <v>1632 Retooling of Ministry of Lands, Housing and Urban Development</v>
      </c>
      <c r="E112" s="175" t="s">
        <v>512</v>
      </c>
      <c r="F112" s="175" t="s">
        <v>1105</v>
      </c>
      <c r="G112" s="175" t="s">
        <v>1106</v>
      </c>
      <c r="H112" s="175" t="str">
        <f>VLOOKUP(I112,'Program Codes'!C:D,2,FALSE)</f>
        <v>13</v>
      </c>
      <c r="I112" s="175" t="s">
        <v>1113</v>
      </c>
      <c r="J112" s="175" t="s">
        <v>1115</v>
      </c>
      <c r="K112" s="175" t="s">
        <v>557</v>
      </c>
      <c r="L112" s="175" t="str">
        <f t="shared" si="9"/>
        <v>Retooling</v>
      </c>
      <c r="M112" s="201">
        <v>44013</v>
      </c>
      <c r="N112" s="201">
        <v>45838</v>
      </c>
      <c r="O112" s="174">
        <v>20</v>
      </c>
      <c r="P112" s="174"/>
      <c r="Q112" s="174">
        <f t="shared" si="8"/>
        <v>20</v>
      </c>
      <c r="R112" s="189">
        <v>0</v>
      </c>
      <c r="S112" s="190">
        <f>SUMIFS(MasterTable[Arrears + All Contractual Commitments (value next FY)],MasterTable[[Project Code and Name ]],PAProjects[[#This Row],[LINKING_CODE]],MasterTable[Funding Source],"GoU Funded")/10^9</f>
        <v>2.35</v>
      </c>
      <c r="T112" s="190">
        <f>SUMIFS(MasterTable[Arrears + All Contractual Commitments (value next FY)],MasterTable[[Project Code and Name ]],PAProjects[[#This Row],[LINKING_CODE]],MasterTable[Funding Source],"External Financing")/10^9</f>
        <v>0</v>
      </c>
      <c r="U112" s="202">
        <f>PAProjects[[#This Row],[GOU 21/22]]+PAProjects[[#This Row],[DONOR 21/22]]</f>
        <v>2.35</v>
      </c>
      <c r="V112" s="192">
        <f>SUMIFS(MasterTable[FY1 (FY22-23)],MasterTable[[Project Code and Name ]],PAProjects[[#This Row],[LINKING_CODE]],MasterTable[Funding Source],"GoU Funded")/10^9</f>
        <v>4</v>
      </c>
      <c r="W112" s="193">
        <f>SUMIFS(MasterTable[FY1 (FY22-23)],MasterTable[[Project Code and Name ]],PAProjects[[#This Row],[LINKING_CODE]],MasterTable[Funding Source],"External Financing")/10^9</f>
        <v>0</v>
      </c>
      <c r="X112" s="202">
        <f>PAProjects[[#This Row],[GOU 22/23]]+PAProjects[[#This Row],[DONOR 22/23]]</f>
        <v>4</v>
      </c>
      <c r="Y112" s="193">
        <f>SUMIFS(MasterTable[FY2 (FY23-24)],MasterTable[[Project Code and Name ]],PAProjects[[#This Row],[LINKING_CODE]],MasterTable[Funding Source],"GoU Funded")/10^9</f>
        <v>4</v>
      </c>
      <c r="Z112" s="193">
        <f>SUMIFS(MasterTable[FY2 (FY23-24)],MasterTable[[Project Code and Name ]],PAProjects[[#This Row],[LINKING_CODE]],MasterTable[Funding Source],"External Financing")/10^9</f>
        <v>0</v>
      </c>
      <c r="AA112" s="202">
        <f>Y112+Z112</f>
        <v>4</v>
      </c>
      <c r="AB112" s="193">
        <f>SUMIFS(MasterTable[FY3 (FY24-25)],MasterTable[[Project Code and Name ]],PAProjects[[#This Row],[LINKING_CODE]],MasterTable[Funding Source],"GoU Funded")/10^9</f>
        <v>4</v>
      </c>
      <c r="AC112" s="193">
        <f>SUMIFS(MasterTable[FY3 (FY24-25)],MasterTable[[Project Code and Name ]],PAProjects[[#This Row],[LINKING_CODE]],MasterTable[Funding Source],"External Financing")/10^9</f>
        <v>0</v>
      </c>
      <c r="AD112" s="202">
        <f>PAProjects[[#This Row],[GOU 24/25]]+PAProjects[[#This Row],[DONOR 24/25]]</f>
        <v>4</v>
      </c>
    </row>
    <row r="113" spans="1:30" ht="15" customHeight="1" x14ac:dyDescent="0.25">
      <c r="A113" s="180" t="s">
        <v>110</v>
      </c>
      <c r="B113" s="175" t="s">
        <v>491</v>
      </c>
      <c r="C113" s="175" t="e">
        <f ca="1">PAProjects[[#This Row],[LINKING_CODE]]=_xlfn.CONCAT(PAProjects[[#This Row],[Project Code]]," ",PAProjects[[#This Row],[Project Name]])</f>
        <v>#NAME?</v>
      </c>
      <c r="D113" s="175" t="str">
        <f>VLOOKUP(PAProjects[[#This Row],[LINKING_CODE]],MasterTable[[Project Code and Name ]],1,FALSE)</f>
        <v>1641 Retooling of Ministry of Internal Affairs</v>
      </c>
      <c r="E113" s="175" t="s">
        <v>527</v>
      </c>
      <c r="F113" s="175" t="s">
        <v>929</v>
      </c>
      <c r="G113" s="175" t="s">
        <v>1184</v>
      </c>
      <c r="H113" s="175" t="str">
        <f>VLOOKUP(I113,'Program Codes'!C:D,2,FALSE)</f>
        <v>13</v>
      </c>
      <c r="I113" s="175" t="s">
        <v>1113</v>
      </c>
      <c r="J113" s="175" t="s">
        <v>1185</v>
      </c>
      <c r="K113" s="175" t="s">
        <v>831</v>
      </c>
      <c r="L113" s="175" t="str">
        <f t="shared" si="9"/>
        <v>Retooling</v>
      </c>
      <c r="M113" s="182">
        <v>44013</v>
      </c>
      <c r="N113" s="182">
        <v>44742</v>
      </c>
      <c r="O113" s="198">
        <v>43.6</v>
      </c>
      <c r="P113" s="174"/>
      <c r="Q113" s="174">
        <f t="shared" si="8"/>
        <v>43.6</v>
      </c>
      <c r="R113" s="189">
        <v>0</v>
      </c>
      <c r="S113" s="190">
        <f>SUMIFS(MasterTable[Arrears + All Contractual Commitments (value next FY)],MasterTable[[Project Code and Name ]],PAProjects[[#This Row],[LINKING_CODE]],MasterTable[Funding Source],"GoU Funded")/10^9</f>
        <v>12.651298282000001</v>
      </c>
      <c r="T113" s="190">
        <f>SUMIFS(MasterTable[Arrears + All Contractual Commitments (value next FY)],MasterTable[[Project Code and Name ]],PAProjects[[#This Row],[LINKING_CODE]],MasterTable[Funding Source],"External Financing")/10^9</f>
        <v>0</v>
      </c>
      <c r="U113" s="202">
        <f>PAProjects[[#This Row],[GOU 21/22]]+PAProjects[[#This Row],[DONOR 21/22]]</f>
        <v>12.651298282000001</v>
      </c>
      <c r="V113" s="192">
        <f>SUMIFS(MasterTable[FY1 (FY22-23)],MasterTable[[Project Code and Name ]],PAProjects[[#This Row],[LINKING_CODE]],MasterTable[Funding Source],"GoU Funded")/10^9</f>
        <v>8.9</v>
      </c>
      <c r="W113" s="193">
        <f>SUMIFS(MasterTable[FY1 (FY22-23)],MasterTable[[Project Code and Name ]],PAProjects[[#This Row],[LINKING_CODE]],MasterTable[Funding Source],"External Financing")/10^9</f>
        <v>0</v>
      </c>
      <c r="X113" s="202">
        <f>PAProjects[[#This Row],[GOU 22/23]]+PAProjects[[#This Row],[DONOR 22/23]]</f>
        <v>8.9</v>
      </c>
      <c r="Y113" s="193">
        <f>SUMIFS(MasterTable[FY2 (FY23-24)],MasterTable[[Project Code and Name ]],PAProjects[[#This Row],[LINKING_CODE]],MasterTable[Funding Source],"GoU Funded")/10^9</f>
        <v>8.4</v>
      </c>
      <c r="Z113" s="193">
        <f>SUMIFS(MasterTable[FY2 (FY23-24)],MasterTable[[Project Code and Name ]],PAProjects[[#This Row],[LINKING_CODE]],MasterTable[Funding Source],"External Financing")/10^9</f>
        <v>0</v>
      </c>
      <c r="AA113" s="202">
        <f>SUM(Y113:Z113)</f>
        <v>8.4</v>
      </c>
      <c r="AB113" s="193">
        <f>SUMIFS(MasterTable[FY3 (FY24-25)],MasterTable[[Project Code and Name ]],PAProjects[[#This Row],[LINKING_CODE]],MasterTable[Funding Source],"GoU Funded")/10^9</f>
        <v>7.9</v>
      </c>
      <c r="AC113" s="193">
        <f>SUMIFS(MasterTable[FY3 (FY24-25)],MasterTable[[Project Code and Name ]],PAProjects[[#This Row],[LINKING_CODE]],MasterTable[Funding Source],"External Financing")/10^9</f>
        <v>0</v>
      </c>
      <c r="AD113" s="202">
        <f>PAProjects[[#This Row],[GOU 24/25]]+PAProjects[[#This Row],[DONOR 24/25]]</f>
        <v>7.9</v>
      </c>
    </row>
    <row r="114" spans="1:30" ht="15" customHeight="1" x14ac:dyDescent="0.25">
      <c r="A114" s="180" t="s">
        <v>111</v>
      </c>
      <c r="B114" s="175" t="s">
        <v>346</v>
      </c>
      <c r="C114" s="175" t="e">
        <f ca="1">PAProjects[[#This Row],[LINKING_CODE]]=_xlfn.CONCAT(PAProjects[[#This Row],[Project Code]]," ",PAProjects[[#This Row],[Project Name]])</f>
        <v>#NAME?</v>
      </c>
      <c r="D114" s="175" t="str">
        <f>VLOOKUP(PAProjects[[#This Row],[LINKING_CODE]],MasterTable[[Project Code and Name ]],1,FALSE)</f>
        <v>1647 Retooling of Ministry of Justice and Constitutional Affairs</v>
      </c>
      <c r="E114" s="175" t="s">
        <v>527</v>
      </c>
      <c r="F114" s="175" t="s">
        <v>929</v>
      </c>
      <c r="G114" s="175" t="s">
        <v>957</v>
      </c>
      <c r="H114" s="175" t="str">
        <f>VLOOKUP(I114,'Program Codes'!C:D,2,FALSE)</f>
        <v>13</v>
      </c>
      <c r="I114" s="175" t="s">
        <v>1113</v>
      </c>
      <c r="J114" s="175" t="s">
        <v>1183</v>
      </c>
      <c r="K114" s="175" t="s">
        <v>836</v>
      </c>
      <c r="L114" s="175" t="str">
        <f t="shared" si="9"/>
        <v>Retooling</v>
      </c>
      <c r="M114" s="182">
        <v>44013</v>
      </c>
      <c r="N114" s="182">
        <v>44742</v>
      </c>
      <c r="O114" s="198">
        <v>72.36</v>
      </c>
      <c r="P114" s="174"/>
      <c r="Q114" s="174">
        <f t="shared" si="8"/>
        <v>72.36</v>
      </c>
      <c r="R114" s="189">
        <v>0</v>
      </c>
      <c r="S114" s="190">
        <f>SUMIFS(MasterTable[Arrears + All Contractual Commitments (value next FY)],MasterTable[[Project Code and Name ]],PAProjects[[#This Row],[LINKING_CODE]],MasterTable[Funding Source],"GoU Funded")/10^9</f>
        <v>16.975999999999999</v>
      </c>
      <c r="T114" s="190">
        <f>SUMIFS(MasterTable[Arrears + All Contractual Commitments (value next FY)],MasterTable[[Project Code and Name ]],PAProjects[[#This Row],[LINKING_CODE]],MasterTable[Funding Source],"External Financing")/10^9</f>
        <v>0</v>
      </c>
      <c r="U114" s="202">
        <f>PAProjects[[#This Row],[GOU 21/22]]+PAProjects[[#This Row],[DONOR 21/22]]</f>
        <v>16.975999999999999</v>
      </c>
      <c r="V114" s="192">
        <f>SUMIFS(MasterTable[FY1 (FY22-23)],MasterTable[[Project Code and Name ]],PAProjects[[#This Row],[LINKING_CODE]],MasterTable[Funding Source],"GoU Funded")/10^9</f>
        <v>9.2880000000000003</v>
      </c>
      <c r="W114" s="193">
        <f>SUMIFS(MasterTable[FY1 (FY22-23)],MasterTable[[Project Code and Name ]],PAProjects[[#This Row],[LINKING_CODE]],MasterTable[Funding Source],"External Financing")/10^9</f>
        <v>0</v>
      </c>
      <c r="X114" s="202">
        <f>PAProjects[[#This Row],[GOU 22/23]]+PAProjects[[#This Row],[DONOR 22/23]]</f>
        <v>9.2880000000000003</v>
      </c>
      <c r="Y114" s="193">
        <f>SUMIFS(MasterTable[FY2 (FY23-24)],MasterTable[[Project Code and Name ]],PAProjects[[#This Row],[LINKING_CODE]],MasterTable[Funding Source],"GoU Funded")/10^9</f>
        <v>9.4169999999999998</v>
      </c>
      <c r="Z114" s="193">
        <f>SUMIFS(MasterTable[FY2 (FY23-24)],MasterTable[[Project Code and Name ]],PAProjects[[#This Row],[LINKING_CODE]],MasterTable[Funding Source],"External Financing")/10^9</f>
        <v>0</v>
      </c>
      <c r="AA114" s="202">
        <f>SUM(Y114:Z114)</f>
        <v>9.4169999999999998</v>
      </c>
      <c r="AB114" s="193">
        <f>SUMIFS(MasterTable[FY3 (FY24-25)],MasterTable[[Project Code and Name ]],PAProjects[[#This Row],[LINKING_CODE]],MasterTable[Funding Source],"GoU Funded")/10^9</f>
        <v>7.0549999999999997</v>
      </c>
      <c r="AC114" s="193">
        <f>SUMIFS(MasterTable[FY3 (FY24-25)],MasterTable[[Project Code and Name ]],PAProjects[[#This Row],[LINKING_CODE]],MasterTable[Funding Source],"External Financing")/10^9</f>
        <v>0</v>
      </c>
      <c r="AD114" s="202">
        <f>PAProjects[[#This Row],[GOU 24/25]]+PAProjects[[#This Row],[DONOR 24/25]]</f>
        <v>7.0549999999999997</v>
      </c>
    </row>
    <row r="115" spans="1:30" ht="15" customHeight="1" x14ac:dyDescent="0.25">
      <c r="A115" s="180" t="s">
        <v>112</v>
      </c>
      <c r="B115" s="175" t="s">
        <v>374</v>
      </c>
      <c r="C115" s="175" t="e">
        <f ca="1">PAProjects[[#This Row],[LINKING_CODE]]=_xlfn.CONCAT(PAProjects[[#This Row],[Project Code]]," ",PAProjects[[#This Row],[Project Name]])</f>
        <v>#NAME?</v>
      </c>
      <c r="D115" s="175" t="str">
        <f>VLOOKUP(PAProjects[[#This Row],[LINKING_CODE]],MasterTable[[Project Code and Name ]],1,FALSE)</f>
        <v>1650 Retooling of Mbarara University of Science and Technology</v>
      </c>
      <c r="E115" s="175" t="s">
        <v>519</v>
      </c>
      <c r="F115" s="175" t="s">
        <v>960</v>
      </c>
      <c r="G115" s="175" t="s">
        <v>137</v>
      </c>
      <c r="H115" s="175" t="str">
        <f>VLOOKUP(I115,'Program Codes'!C:D,2,FALSE)</f>
        <v>13</v>
      </c>
      <c r="I115" s="175" t="s">
        <v>1113</v>
      </c>
      <c r="J115" s="175" t="s">
        <v>1134</v>
      </c>
      <c r="K115" s="175" t="s">
        <v>692</v>
      </c>
      <c r="L115" s="175" t="str">
        <f t="shared" si="9"/>
        <v>Retooling</v>
      </c>
      <c r="M115" s="182">
        <v>44013</v>
      </c>
      <c r="N115" s="182">
        <v>45838</v>
      </c>
      <c r="O115" s="174">
        <v>7.4950000000000001</v>
      </c>
      <c r="P115" s="174"/>
      <c r="Q115" s="174">
        <f t="shared" si="8"/>
        <v>7.4950000000000001</v>
      </c>
      <c r="R115" s="189">
        <v>0</v>
      </c>
      <c r="S115" s="190">
        <f>SUMIFS(MasterTable[Arrears + All Contractual Commitments (value next FY)],MasterTable[[Project Code and Name ]],PAProjects[[#This Row],[LINKING_CODE]],MasterTable[Funding Source],"GoU Funded")/10^9</f>
        <v>1.8785400000000001</v>
      </c>
      <c r="T115" s="190">
        <f>SUMIFS(MasterTable[Arrears + All Contractual Commitments (value next FY)],MasterTable[[Project Code and Name ]],PAProjects[[#This Row],[LINKING_CODE]],MasterTable[Funding Source],"External Financing")/10^9</f>
        <v>0</v>
      </c>
      <c r="U115" s="202">
        <f>PAProjects[[#This Row],[GOU 21/22]]+PAProjects[[#This Row],[DONOR 21/22]]</f>
        <v>1.8785400000000001</v>
      </c>
      <c r="V115" s="192">
        <f>SUMIFS(MasterTable[FY1 (FY22-23)],MasterTable[[Project Code and Name ]],PAProjects[[#This Row],[LINKING_CODE]],MasterTable[Funding Source],"GoU Funded")/10^9</f>
        <v>1.631121</v>
      </c>
      <c r="W115" s="193">
        <f>SUMIFS(MasterTable[FY1 (FY22-23)],MasterTable[[Project Code and Name ]],PAProjects[[#This Row],[LINKING_CODE]],MasterTable[Funding Source],"External Financing")/10^9</f>
        <v>0</v>
      </c>
      <c r="X115" s="202">
        <f>PAProjects[[#This Row],[GOU 22/23]]+PAProjects[[#This Row],[DONOR 22/23]]</f>
        <v>1.631121</v>
      </c>
      <c r="Y115" s="193">
        <f>SUMIFS(MasterTable[FY2 (FY23-24)],MasterTable[[Project Code and Name ]],PAProjects[[#This Row],[LINKING_CODE]],MasterTable[Funding Source],"GoU Funded")/10^9</f>
        <v>1.6587700000000001</v>
      </c>
      <c r="Z115" s="193">
        <f>SUMIFS(MasterTable[FY2 (FY23-24)],MasterTable[[Project Code and Name ]],PAProjects[[#This Row],[LINKING_CODE]],MasterTable[Funding Source],"External Financing")/10^9</f>
        <v>0</v>
      </c>
      <c r="AA115" s="202">
        <f>Y115+Z115</f>
        <v>1.6587700000000001</v>
      </c>
      <c r="AB115" s="193">
        <f>SUMIFS(MasterTable[FY3 (FY24-25)],MasterTable[[Project Code and Name ]],PAProjects[[#This Row],[LINKING_CODE]],MasterTable[Funding Source],"GoU Funded")/10^9</f>
        <v>1.6668000000000001</v>
      </c>
      <c r="AC115" s="193">
        <f>SUMIFS(MasterTable[FY3 (FY24-25)],MasterTable[[Project Code and Name ]],PAProjects[[#This Row],[LINKING_CODE]],MasterTable[Funding Source],"External Financing")/10^9</f>
        <v>0</v>
      </c>
      <c r="AD115" s="202">
        <f>PAProjects[[#This Row],[GOU 24/25]]+PAProjects[[#This Row],[DONOR 24/25]]</f>
        <v>1.6668000000000001</v>
      </c>
    </row>
    <row r="116" spans="1:30" ht="15" customHeight="1" x14ac:dyDescent="0.25">
      <c r="A116" s="180" t="s">
        <v>113</v>
      </c>
      <c r="B116" s="175" t="s">
        <v>487</v>
      </c>
      <c r="C116" s="175" t="e">
        <f ca="1">PAProjects[[#This Row],[LINKING_CODE]]=_xlfn.CONCAT(PAProjects[[#This Row],[Project Code]]," ",PAProjects[[#This Row],[Project Name]])</f>
        <v>#NAME?</v>
      </c>
      <c r="D116" s="175" t="str">
        <f>VLOOKUP(PAProjects[[#This Row],[LINKING_CODE]],MasterTable[[Project Code and Name ]],1,FALSE)</f>
        <v>1652 Retooling of Ministry of Local Government</v>
      </c>
      <c r="E116" s="175" t="s">
        <v>540</v>
      </c>
      <c r="F116" s="175" t="s">
        <v>931</v>
      </c>
      <c r="G116" s="175" t="s">
        <v>932</v>
      </c>
      <c r="H116" s="175" t="str">
        <f>VLOOKUP(I116,'Program Codes'!C:D,2,FALSE)</f>
        <v>13</v>
      </c>
      <c r="I116" s="175" t="s">
        <v>1113</v>
      </c>
      <c r="J116" s="175" t="s">
        <v>1232</v>
      </c>
      <c r="K116" s="175" t="s">
        <v>878</v>
      </c>
      <c r="L116" s="175" t="str">
        <f t="shared" si="9"/>
        <v>Retooling</v>
      </c>
      <c r="M116" s="188">
        <v>44013</v>
      </c>
      <c r="N116" s="182">
        <v>45838</v>
      </c>
      <c r="O116" s="183">
        <v>125.29</v>
      </c>
      <c r="P116" s="174"/>
      <c r="Q116" s="174">
        <f t="shared" si="8"/>
        <v>125.29</v>
      </c>
      <c r="R116" s="189">
        <v>0</v>
      </c>
      <c r="S116" s="190">
        <f>SUMIFS(MasterTable[Arrears + All Contractual Commitments (value next FY)],MasterTable[[Project Code and Name ]],PAProjects[[#This Row],[LINKING_CODE]],MasterTable[Funding Source],"GoU Funded")/10^9</f>
        <v>18.95</v>
      </c>
      <c r="T116" s="190">
        <f>SUMIFS(MasterTable[Arrears + All Contractual Commitments (value next FY)],MasterTable[[Project Code and Name ]],PAProjects[[#This Row],[LINKING_CODE]],MasterTable[Funding Source],"External Financing")/10^9</f>
        <v>0</v>
      </c>
      <c r="U116" s="202">
        <f>PAProjects[[#This Row],[GOU 21/22]]+PAProjects[[#This Row],[DONOR 21/22]]</f>
        <v>18.95</v>
      </c>
      <c r="V116" s="192">
        <f>SUMIFS(MasterTable[FY1 (FY22-23)],MasterTable[[Project Code and Name ]],PAProjects[[#This Row],[LINKING_CODE]],MasterTable[Funding Source],"GoU Funded")/10^9</f>
        <v>18.95</v>
      </c>
      <c r="W116" s="193">
        <f>SUMIFS(MasterTable[FY1 (FY22-23)],MasterTable[[Project Code and Name ]],PAProjects[[#This Row],[LINKING_CODE]],MasterTable[Funding Source],"External Financing")/10^9</f>
        <v>0</v>
      </c>
      <c r="X116" s="202">
        <f>PAProjects[[#This Row],[GOU 22/23]]+PAProjects[[#This Row],[DONOR 22/23]]</f>
        <v>18.95</v>
      </c>
      <c r="Y116" s="193">
        <f>SUMIFS(MasterTable[FY2 (FY23-24)],MasterTable[[Project Code and Name ]],PAProjects[[#This Row],[LINKING_CODE]],MasterTable[Funding Source],"GoU Funded")/10^9</f>
        <v>18.95</v>
      </c>
      <c r="Z116" s="193">
        <f>SUMIFS(MasterTable[FY2 (FY23-24)],MasterTable[[Project Code and Name ]],PAProjects[[#This Row],[LINKING_CODE]],MasterTable[Funding Source],"External Financing")/10^9</f>
        <v>0</v>
      </c>
      <c r="AA116" s="202">
        <f>SUM(Y116:Z116)</f>
        <v>18.95</v>
      </c>
      <c r="AB116" s="193">
        <f>SUMIFS(MasterTable[FY3 (FY24-25)],MasterTable[[Project Code and Name ]],PAProjects[[#This Row],[LINKING_CODE]],MasterTable[Funding Source],"GoU Funded")/10^9</f>
        <v>18.95</v>
      </c>
      <c r="AC116" s="193">
        <f>SUMIFS(MasterTable[FY3 (FY24-25)],MasterTable[[Project Code and Name ]],PAProjects[[#This Row],[LINKING_CODE]],MasterTable[Funding Source],"External Financing")/10^9</f>
        <v>0</v>
      </c>
      <c r="AD116" s="202">
        <f>PAProjects[[#This Row],[GOU 24/25]]+PAProjects[[#This Row],[DONOR 24/25]]</f>
        <v>18.95</v>
      </c>
    </row>
    <row r="117" spans="1:30" ht="15" customHeight="1" x14ac:dyDescent="0.25">
      <c r="A117" s="180" t="s">
        <v>114</v>
      </c>
      <c r="B117" s="175" t="s">
        <v>52</v>
      </c>
      <c r="C117" s="175" t="e">
        <f ca="1">PAProjects[[#This Row],[LINKING_CODE]]=_xlfn.CONCAT(PAProjects[[#This Row],[Project Code]]," ",PAProjects[[#This Row],[Project Name]])</f>
        <v>#NAME?</v>
      </c>
      <c r="D117" s="175" t="str">
        <f>VLOOKUP(PAProjects[[#This Row],[LINKING_CODE]],MasterTable[[Project Code and Name ]],1,FALSE)</f>
        <v>1654 Power Supply to industrial parks and Power  Transmission Line Extension</v>
      </c>
      <c r="E117" s="175" t="s">
        <v>513</v>
      </c>
      <c r="F117" s="175" t="s">
        <v>1089</v>
      </c>
      <c r="G117" s="175" t="s">
        <v>66</v>
      </c>
      <c r="H117" s="175" t="str">
        <f>VLOOKUP(I117,'Program Codes'!C:D,2,FALSE)</f>
        <v>15</v>
      </c>
      <c r="I117" s="175" t="s">
        <v>1251</v>
      </c>
      <c r="J117" s="175" t="s">
        <v>1259</v>
      </c>
      <c r="K117" s="175" t="s">
        <v>587</v>
      </c>
      <c r="L117" s="175" t="s">
        <v>1509</v>
      </c>
      <c r="M117" s="182">
        <v>44013</v>
      </c>
      <c r="N117" s="182">
        <v>45838</v>
      </c>
      <c r="O117" s="174">
        <v>40</v>
      </c>
      <c r="P117" s="174">
        <v>198.8</v>
      </c>
      <c r="Q117" s="174">
        <f t="shared" si="8"/>
        <v>238.8</v>
      </c>
      <c r="R117" s="189">
        <v>0</v>
      </c>
      <c r="S117" s="190">
        <f>SUMIFS(MasterTable[Arrears + All Contractual Commitments (value next FY)],MasterTable[[Project Code and Name ]],PAProjects[[#This Row],[LINKING_CODE]],MasterTable[Funding Source],"GoU Funded")/10^9</f>
        <v>37.51</v>
      </c>
      <c r="T117" s="190">
        <f>SUMIFS(MasterTable[Arrears + All Contractual Commitments (value next FY)],MasterTable[[Project Code and Name ]],PAProjects[[#This Row],[LINKING_CODE]],MasterTable[Funding Source],"External Financing")/10^9</f>
        <v>32.29</v>
      </c>
      <c r="U117" s="191">
        <f>PAProjects[[#This Row],[GOU 21/22]]+PAProjects[[#This Row],[DONOR 21/22]]</f>
        <v>69.8</v>
      </c>
      <c r="V117" s="192">
        <f>SUMIFS(MasterTable[FY1 (FY22-23)],MasterTable[[Project Code and Name ]],PAProjects[[#This Row],[LINKING_CODE]],MasterTable[Funding Source],"GoU Funded")/10^9</f>
        <v>5</v>
      </c>
      <c r="W117" s="193">
        <f>SUMIFS(MasterTable[FY1 (FY22-23)],MasterTable[[Project Code and Name ]],PAProjects[[#This Row],[LINKING_CODE]],MasterTable[Funding Source],"External Financing")/10^9</f>
        <v>20</v>
      </c>
      <c r="X117" s="191">
        <f>PAProjects[[#This Row],[GOU 22/23]]+PAProjects[[#This Row],[DONOR 22/23]]</f>
        <v>25</v>
      </c>
      <c r="Y117" s="193">
        <f>SUMIFS(MasterTable[FY2 (FY23-24)],MasterTable[[Project Code and Name ]],PAProjects[[#This Row],[LINKING_CODE]],MasterTable[Funding Source],"GoU Funded")/10^9</f>
        <v>5</v>
      </c>
      <c r="Z117" s="193">
        <f>SUMIFS(MasterTable[FY2 (FY23-24)],MasterTable[[Project Code and Name ]],PAProjects[[#This Row],[LINKING_CODE]],MasterTable[Funding Source],"External Financing")/10^9</f>
        <v>16.850000000000001</v>
      </c>
      <c r="AA117" s="175">
        <f t="shared" ref="AA117:AA122" si="10">Y117+Z117</f>
        <v>21.85</v>
      </c>
      <c r="AB117" s="193">
        <f>SUMIFS(MasterTable[FY3 (FY24-25)],MasterTable[[Project Code and Name ]],PAProjects[[#This Row],[LINKING_CODE]],MasterTable[Funding Source],"GoU Funded")/10^9</f>
        <v>5</v>
      </c>
      <c r="AC117" s="193">
        <f>SUMIFS(MasterTable[FY3 (FY24-25)],MasterTable[[Project Code and Name ]],PAProjects[[#This Row],[LINKING_CODE]],MasterTable[Funding Source],"External Financing")/10^9</f>
        <v>6.85</v>
      </c>
      <c r="AD117" s="202">
        <f>PAProjects[[#This Row],[GOU 24/25]]+PAProjects[[#This Row],[DONOR 24/25]]</f>
        <v>11.85</v>
      </c>
    </row>
    <row r="118" spans="1:30" ht="15" customHeight="1" x14ac:dyDescent="0.25">
      <c r="A118" s="180" t="s">
        <v>115</v>
      </c>
      <c r="B118" s="175" t="s">
        <v>53</v>
      </c>
      <c r="C118" s="175" t="e">
        <f ca="1">PAProjects[[#This Row],[LINKING_CODE]]=_xlfn.CONCAT(PAProjects[[#This Row],[Project Code]]," ",PAProjects[[#This Row],[Project Name]])</f>
        <v>#NAME?</v>
      </c>
      <c r="D118" s="175" t="str">
        <f>VLOOKUP(PAProjects[[#This Row],[LINKING_CODE]],MasterTable[[Project Code and Name ]],1,FALSE)</f>
        <v>1655 Kikagati Nsongezi Transmission Line</v>
      </c>
      <c r="E118" s="175" t="s">
        <v>513</v>
      </c>
      <c r="F118" s="175" t="s">
        <v>1089</v>
      </c>
      <c r="G118" s="175" t="s">
        <v>66</v>
      </c>
      <c r="H118" s="175" t="str">
        <f>VLOOKUP(I118,'Program Codes'!C:D,2,FALSE)</f>
        <v>15</v>
      </c>
      <c r="I118" s="175" t="s">
        <v>1251</v>
      </c>
      <c r="J118" s="175" t="s">
        <v>1260</v>
      </c>
      <c r="K118" s="175" t="s">
        <v>589</v>
      </c>
      <c r="L118" s="175" t="s">
        <v>1509</v>
      </c>
      <c r="M118" s="182">
        <v>44013</v>
      </c>
      <c r="N118" s="182">
        <v>45838</v>
      </c>
      <c r="O118" s="174">
        <v>24.5</v>
      </c>
      <c r="P118" s="174"/>
      <c r="Q118" s="174">
        <f t="shared" si="8"/>
        <v>24.5</v>
      </c>
      <c r="R118" s="189">
        <v>0</v>
      </c>
      <c r="S118" s="190">
        <f>SUMIFS(MasterTable[Arrears + All Contractual Commitments (value next FY)],MasterTable[[Project Code and Name ]],PAProjects[[#This Row],[LINKING_CODE]],MasterTable[Funding Source],"GoU Funded")/10^9</f>
        <v>4.6500000000000004</v>
      </c>
      <c r="T118" s="190">
        <f>SUMIFS(MasterTable[Arrears + All Contractual Commitments (value next FY)],MasterTable[[Project Code and Name ]],PAProjects[[#This Row],[LINKING_CODE]],MasterTable[Funding Source],"External Financing")/10^9</f>
        <v>7.69</v>
      </c>
      <c r="U118" s="191">
        <f>PAProjects[[#This Row],[GOU 21/22]]+PAProjects[[#This Row],[DONOR 21/22]]</f>
        <v>12.34</v>
      </c>
      <c r="V118" s="192">
        <f>SUMIFS(MasterTable[FY1 (FY22-23)],MasterTable[[Project Code and Name ]],PAProjects[[#This Row],[LINKING_CODE]],MasterTable[Funding Source],"GoU Funded")/10^9</f>
        <v>1</v>
      </c>
      <c r="W118" s="193">
        <f>SUMIFS(MasterTable[FY1 (FY22-23)],MasterTable[[Project Code and Name ]],PAProjects[[#This Row],[LINKING_CODE]],MasterTable[Funding Source],"External Financing")/10^9</f>
        <v>0</v>
      </c>
      <c r="X118" s="191">
        <f>PAProjects[[#This Row],[GOU 22/23]]+PAProjects[[#This Row],[DONOR 22/23]]</f>
        <v>1</v>
      </c>
      <c r="Y118" s="193">
        <f>SUMIFS(MasterTable[FY2 (FY23-24)],MasterTable[[Project Code and Name ]],PAProjects[[#This Row],[LINKING_CODE]],MasterTable[Funding Source],"GoU Funded")/10^9</f>
        <v>1</v>
      </c>
      <c r="Z118" s="193">
        <f>SUMIFS(MasterTable[FY2 (FY23-24)],MasterTable[[Project Code and Name ]],PAProjects[[#This Row],[LINKING_CODE]],MasterTable[Funding Source],"External Financing")/10^9</f>
        <v>0</v>
      </c>
      <c r="AA118" s="175">
        <f t="shared" si="10"/>
        <v>1</v>
      </c>
      <c r="AB118" s="193">
        <f>SUMIFS(MasterTable[FY3 (FY24-25)],MasterTable[[Project Code and Name ]],PAProjects[[#This Row],[LINKING_CODE]],MasterTable[Funding Source],"GoU Funded")/10^9</f>
        <v>1</v>
      </c>
      <c r="AC118" s="193">
        <f>SUMIFS(MasterTable[FY3 (FY24-25)],MasterTable[[Project Code and Name ]],PAProjects[[#This Row],[LINKING_CODE]],MasterTable[Funding Source],"External Financing")/10^9</f>
        <v>0</v>
      </c>
      <c r="AD118" s="202">
        <f>PAProjects[[#This Row],[GOU 24/25]]+PAProjects[[#This Row],[DONOR 24/25]]</f>
        <v>1</v>
      </c>
    </row>
    <row r="119" spans="1:30" ht="15" customHeight="1" x14ac:dyDescent="0.25">
      <c r="A119" s="180" t="s">
        <v>116</v>
      </c>
      <c r="B119" s="175" t="s">
        <v>418</v>
      </c>
      <c r="C119" s="175" t="e">
        <f ca="1">PAProjects[[#This Row],[LINKING_CODE]]=_xlfn.CONCAT(PAProjects[[#This Row],[Project Code]]," ",PAProjects[[#This Row],[Project Name]])</f>
        <v>#NAME?</v>
      </c>
      <c r="D119" s="175" t="str">
        <f>VLOOKUP(PAProjects[[#This Row],[LINKING_CODE]],MasterTable[[Project Code and Name ]],1,FALSE)</f>
        <v>1656 Construction of Muko - Katuna Road (66.6 km)</v>
      </c>
      <c r="E119" s="175" t="s">
        <v>515</v>
      </c>
      <c r="F119" s="175" t="s">
        <v>944</v>
      </c>
      <c r="G119" s="175" t="s">
        <v>113</v>
      </c>
      <c r="H119" s="175" t="str">
        <f>VLOOKUP(I119,'Program Codes'!C:D,2,FALSE)</f>
        <v>08</v>
      </c>
      <c r="I119" s="175" t="s">
        <v>1007</v>
      </c>
      <c r="J119" s="175" t="s">
        <v>1072</v>
      </c>
      <c r="K119" s="175" t="s">
        <v>650</v>
      </c>
      <c r="L119" s="175" t="s">
        <v>1509</v>
      </c>
      <c r="M119" s="182">
        <v>44013</v>
      </c>
      <c r="N119" s="182">
        <v>45838</v>
      </c>
      <c r="O119" s="183">
        <v>0</v>
      </c>
      <c r="P119" s="184">
        <v>386.89875000000001</v>
      </c>
      <c r="Q119" s="174">
        <f t="shared" si="8"/>
        <v>386.89875000000001</v>
      </c>
      <c r="R119" s="189">
        <v>0</v>
      </c>
      <c r="S119" s="190">
        <f>SUMIFS(MasterTable[Arrears + All Contractual Commitments (value next FY)],MasterTable[[Project Code and Name ]],PAProjects[[#This Row],[LINKING_CODE]],MasterTable[Funding Source],"GoU Funded")/10^9</f>
        <v>0</v>
      </c>
      <c r="T119" s="190">
        <f>SUMIFS(MasterTable[Arrears + All Contractual Commitments (value next FY)],MasterTable[[Project Code and Name ]],PAProjects[[#This Row],[LINKING_CODE]],MasterTable[Funding Source],"External Financing")/10^9</f>
        <v>0</v>
      </c>
      <c r="U119" s="191">
        <f>PAProjects[[#This Row],[GOU 21/22]]+PAProjects[[#This Row],[DONOR 21/22]]</f>
        <v>0</v>
      </c>
      <c r="V119" s="192">
        <f>SUMIFS(MasterTable[FY1 (FY22-23)],MasterTable[[Project Code and Name ]],PAProjects[[#This Row],[LINKING_CODE]],MasterTable[Funding Source],"GoU Funded")/10^9</f>
        <v>0</v>
      </c>
      <c r="W119" s="193">
        <f>SUMIFS(MasterTable[FY1 (FY22-23)],MasterTable[[Project Code and Name ]],PAProjects[[#This Row],[LINKING_CODE]],MasterTable[Funding Source],"External Financing")/10^9</f>
        <v>0</v>
      </c>
      <c r="X119" s="191">
        <f>PAProjects[[#This Row],[GOU 22/23]]+PAProjects[[#This Row],[DONOR 22/23]]</f>
        <v>0</v>
      </c>
      <c r="Y119" s="193">
        <f>SUMIFS(MasterTable[FY2 (FY23-24)],MasterTable[[Project Code and Name ]],PAProjects[[#This Row],[LINKING_CODE]],MasterTable[Funding Source],"GoU Funded")/10^9</f>
        <v>0</v>
      </c>
      <c r="Z119" s="193">
        <f>SUMIFS(MasterTable[FY2 (FY23-24)],MasterTable[[Project Code and Name ]],PAProjects[[#This Row],[LINKING_CODE]],MasterTable[Funding Source],"External Financing")/10^9</f>
        <v>0</v>
      </c>
      <c r="AA119" s="175">
        <f t="shared" si="10"/>
        <v>0</v>
      </c>
      <c r="AB119" s="193">
        <f>SUMIFS(MasterTable[FY3 (FY24-25)],MasterTable[[Project Code and Name ]],PAProjects[[#This Row],[LINKING_CODE]],MasterTable[Funding Source],"GoU Funded")/10^9</f>
        <v>0</v>
      </c>
      <c r="AC119" s="193">
        <f>SUMIFS(MasterTable[FY3 (FY24-25)],MasterTable[[Project Code and Name ]],PAProjects[[#This Row],[LINKING_CODE]],MasterTable[Funding Source],"External Financing")/10^9</f>
        <v>0</v>
      </c>
      <c r="AD119" s="202">
        <f>PAProjects[[#This Row],[GOU 24/25]]+PAProjects[[#This Row],[DONOR 24/25]]</f>
        <v>0</v>
      </c>
    </row>
    <row r="120" spans="1:30" ht="15" customHeight="1" x14ac:dyDescent="0.25">
      <c r="A120" s="180" t="s">
        <v>117</v>
      </c>
      <c r="B120" s="175" t="s">
        <v>419</v>
      </c>
      <c r="C120" s="175" t="e">
        <f ca="1">PAProjects[[#This Row],[LINKING_CODE]]=_xlfn.CONCAT(PAProjects[[#This Row],[Project Code]]," ",PAProjects[[#This Row],[Project Name]])</f>
        <v>#NAME?</v>
      </c>
      <c r="D120" s="175" t="str">
        <f>VLOOKUP(PAProjects[[#This Row],[LINKING_CODE]],MasterTable[[Project Code and Name ]],1,FALSE)</f>
        <v>1657 Moyo-Yumbe-Koboko road</v>
      </c>
      <c r="E120" s="175" t="s">
        <v>515</v>
      </c>
      <c r="F120" s="175" t="s">
        <v>944</v>
      </c>
      <c r="G120" s="175" t="s">
        <v>113</v>
      </c>
      <c r="H120" s="175" t="str">
        <f>VLOOKUP(I120,'Program Codes'!C:D,2,FALSE)</f>
        <v>08</v>
      </c>
      <c r="I120" s="175" t="s">
        <v>1007</v>
      </c>
      <c r="J120" s="175" t="s">
        <v>1073</v>
      </c>
      <c r="K120" s="175" t="s">
        <v>652</v>
      </c>
      <c r="L120" s="175" t="s">
        <v>1509</v>
      </c>
      <c r="M120" s="182">
        <v>44013</v>
      </c>
      <c r="N120" s="182">
        <v>45838</v>
      </c>
      <c r="O120" s="183">
        <v>396.3</v>
      </c>
      <c r="P120" s="184">
        <v>0</v>
      </c>
      <c r="Q120" s="174">
        <f t="shared" si="8"/>
        <v>396.3</v>
      </c>
      <c r="R120" s="189">
        <v>0</v>
      </c>
      <c r="S120" s="190">
        <f>SUMIFS(MasterTable[Arrears + All Contractual Commitments (value next FY)],MasterTable[[Project Code and Name ]],PAProjects[[#This Row],[LINKING_CODE]],MasterTable[Funding Source],"GoU Funded")/10^9</f>
        <v>0</v>
      </c>
      <c r="T120" s="190">
        <f>SUMIFS(MasterTable[Arrears + All Contractual Commitments (value next FY)],MasterTable[[Project Code and Name ]],PAProjects[[#This Row],[LINKING_CODE]],MasterTable[Funding Source],"External Financing")/10^9</f>
        <v>78</v>
      </c>
      <c r="U120" s="191">
        <f>PAProjects[[#This Row],[GOU 21/22]]+PAProjects[[#This Row],[DONOR 21/22]]</f>
        <v>78</v>
      </c>
      <c r="V120" s="192">
        <f>SUMIFS(MasterTable[FY1 (FY22-23)],MasterTable[[Project Code and Name ]],PAProjects[[#This Row],[LINKING_CODE]],MasterTable[Funding Source],"GoU Funded")/10^9</f>
        <v>0</v>
      </c>
      <c r="W120" s="193">
        <f>SUMIFS(MasterTable[FY1 (FY22-23)],MasterTable[[Project Code and Name ]],PAProjects[[#This Row],[LINKING_CODE]],MasterTable[Funding Source],"External Financing")/10^9</f>
        <v>117</v>
      </c>
      <c r="X120" s="191">
        <f>PAProjects[[#This Row],[GOU 22/23]]+PAProjects[[#This Row],[DONOR 22/23]]</f>
        <v>117</v>
      </c>
      <c r="Y120" s="193">
        <f>SUMIFS(MasterTable[FY2 (FY23-24)],MasterTable[[Project Code and Name ]],PAProjects[[#This Row],[LINKING_CODE]],MasterTable[Funding Source],"GoU Funded")/10^9</f>
        <v>0</v>
      </c>
      <c r="Z120" s="193">
        <f>SUMIFS(MasterTable[FY2 (FY23-24)],MasterTable[[Project Code and Name ]],PAProjects[[#This Row],[LINKING_CODE]],MasterTable[Funding Source],"External Financing")/10^9</f>
        <v>156</v>
      </c>
      <c r="AA120" s="175">
        <f t="shared" si="10"/>
        <v>156</v>
      </c>
      <c r="AB120" s="193">
        <f>SUMIFS(MasterTable[FY3 (FY24-25)],MasterTable[[Project Code and Name ]],PAProjects[[#This Row],[LINKING_CODE]],MasterTable[Funding Source],"GoU Funded")/10^9</f>
        <v>0</v>
      </c>
      <c r="AC120" s="193">
        <f>SUMIFS(MasterTable[FY3 (FY24-25)],MasterTable[[Project Code and Name ]],PAProjects[[#This Row],[LINKING_CODE]],MasterTable[Funding Source],"External Financing")/10^9</f>
        <v>39</v>
      </c>
      <c r="AD120" s="202">
        <f>PAProjects[[#This Row],[GOU 24/25]]+PAProjects[[#This Row],[DONOR 24/25]]</f>
        <v>39</v>
      </c>
    </row>
    <row r="121" spans="1:30" ht="15" customHeight="1" x14ac:dyDescent="0.25">
      <c r="A121" s="180" t="s">
        <v>118</v>
      </c>
      <c r="B121" s="175" t="s">
        <v>444</v>
      </c>
      <c r="C121" s="175" t="e">
        <f ca="1">PAProjects[[#This Row],[LINKING_CODE]]=_xlfn.CONCAT(PAProjects[[#This Row],[Project Code]]," ",PAProjects[[#This Row],[Project Name]])</f>
        <v>#NAME?</v>
      </c>
      <c r="D121" s="175" t="str">
        <f>VLOOKUP(PAProjects[[#This Row],[LINKING_CODE]],MasterTable[[Project Code and Name ]],1,FALSE)</f>
        <v>1659 Rehabilitation of the Tororo – Gulu railway line</v>
      </c>
      <c r="E121" s="175" t="s">
        <v>515</v>
      </c>
      <c r="F121" s="175" t="s">
        <v>944</v>
      </c>
      <c r="G121" s="175" t="s">
        <v>99</v>
      </c>
      <c r="H121" s="175" t="str">
        <f>VLOOKUP(I121,'Program Codes'!C:D,2,FALSE)</f>
        <v>08</v>
      </c>
      <c r="I121" s="175" t="s">
        <v>1007</v>
      </c>
      <c r="J121" s="175" t="s">
        <v>1025</v>
      </c>
      <c r="K121" s="175" t="s">
        <v>656</v>
      </c>
      <c r="L121" s="175" t="s">
        <v>1509</v>
      </c>
      <c r="M121" s="182">
        <v>44013</v>
      </c>
      <c r="N121" s="182">
        <v>45838</v>
      </c>
      <c r="O121" s="183">
        <v>97.515000000000001</v>
      </c>
      <c r="P121" s="184">
        <v>88.334999999999994</v>
      </c>
      <c r="Q121" s="174">
        <f t="shared" si="8"/>
        <v>185.85</v>
      </c>
      <c r="R121" s="189">
        <v>0</v>
      </c>
      <c r="S121" s="190">
        <f>SUMIFS(MasterTable[Arrears + All Contractual Commitments (value next FY)],MasterTable[[Project Code and Name ]],PAProjects[[#This Row],[LINKING_CODE]],MasterTable[Funding Source],"GoU Funded")/10^9</f>
        <v>6.6</v>
      </c>
      <c r="T121" s="190">
        <f>SUMIFS(MasterTable[Arrears + All Contractual Commitments (value next FY)],MasterTable[[Project Code and Name ]],PAProjects[[#This Row],[LINKING_CODE]],MasterTable[Funding Source],"External Financing")/10^9</f>
        <v>21.584</v>
      </c>
      <c r="U121" s="191">
        <f>PAProjects[[#This Row],[GOU 21/22]]+PAProjects[[#This Row],[DONOR 21/22]]</f>
        <v>28.183999999999997</v>
      </c>
      <c r="V121" s="192">
        <f>SUMIFS(MasterTable[FY1 (FY22-23)],MasterTable[[Project Code and Name ]],PAProjects[[#This Row],[LINKING_CODE]],MasterTable[Funding Source],"GoU Funded")/10^9</f>
        <v>34.159999999999997</v>
      </c>
      <c r="W121" s="193">
        <f>SUMIFS(MasterTable[FY1 (FY22-23)],MasterTable[[Project Code and Name ]],PAProjects[[#This Row],[LINKING_CODE]],MasterTable[Funding Source],"External Financing")/10^9</f>
        <v>20.6967</v>
      </c>
      <c r="X121" s="202">
        <f>PAProjects[[#This Row],[GOU 22/23]]+PAProjects[[#This Row],[DONOR 22/23]]</f>
        <v>54.856699999999996</v>
      </c>
      <c r="Y121" s="193">
        <f>SUMIFS(MasterTable[FY2 (FY23-24)],MasterTable[[Project Code and Name ]],PAProjects[[#This Row],[LINKING_CODE]],MasterTable[Funding Source],"GoU Funded")/10^9</f>
        <v>29</v>
      </c>
      <c r="Z121" s="193">
        <f>SUMIFS(MasterTable[FY2 (FY23-24)],MasterTable[[Project Code and Name ]],PAProjects[[#This Row],[LINKING_CODE]],MasterTable[Funding Source],"External Financing")/10^9</f>
        <v>16.932377500000001</v>
      </c>
      <c r="AA121" s="202">
        <f t="shared" si="10"/>
        <v>45.932377500000001</v>
      </c>
      <c r="AB121" s="193">
        <f>SUMIFS(MasterTable[FY3 (FY24-25)],MasterTable[[Project Code and Name ]],PAProjects[[#This Row],[LINKING_CODE]],MasterTable[Funding Source],"GoU Funded")/10^9</f>
        <v>25.155000000000001</v>
      </c>
      <c r="AC121" s="193">
        <f>SUMIFS(MasterTable[FY3 (FY24-25)],MasterTable[[Project Code and Name ]],PAProjects[[#This Row],[LINKING_CODE]],MasterTable[Funding Source],"External Financing")/10^9</f>
        <v>12.8119225</v>
      </c>
      <c r="AD121" s="202">
        <f>PAProjects[[#This Row],[GOU 24/25]]+PAProjects[[#This Row],[DONOR 24/25]]</f>
        <v>37.966922500000003</v>
      </c>
    </row>
    <row r="122" spans="1:30" ht="15" customHeight="1" x14ac:dyDescent="0.25">
      <c r="A122" s="180" t="s">
        <v>119</v>
      </c>
      <c r="B122" s="175" t="s">
        <v>471</v>
      </c>
      <c r="C122" s="175" t="e">
        <f ca="1">PAProjects[[#This Row],[LINKING_CODE]]=_xlfn.CONCAT(PAProjects[[#This Row],[Project Code]]," ",PAProjects[[#This Row],[Project Name]])</f>
        <v>#NAME?</v>
      </c>
      <c r="D122" s="175" t="str">
        <f>VLOOKUP(PAProjects[[#This Row],[LINKING_CODE]],MasterTable[[Project Code and Name ]],1,FALSE)</f>
        <v>1665 Uganda Secondary Education Expansion Project</v>
      </c>
      <c r="E122" s="175" t="s">
        <v>519</v>
      </c>
      <c r="F122" s="175" t="s">
        <v>960</v>
      </c>
      <c r="G122" s="175" t="s">
        <v>961</v>
      </c>
      <c r="H122" s="175" t="str">
        <f>VLOOKUP(I122,'Program Codes'!C:D,2,FALSE)</f>
        <v>06</v>
      </c>
      <c r="I122" s="175" t="s">
        <v>962</v>
      </c>
      <c r="J122" s="175" t="s">
        <v>972</v>
      </c>
      <c r="K122" s="175" t="s">
        <v>693</v>
      </c>
      <c r="L122" s="175" t="s">
        <v>1509</v>
      </c>
      <c r="M122" s="182">
        <v>44013</v>
      </c>
      <c r="N122" s="182">
        <v>45838</v>
      </c>
      <c r="O122" s="183">
        <v>0</v>
      </c>
      <c r="P122" s="184">
        <v>555</v>
      </c>
      <c r="Q122" s="174">
        <f t="shared" si="8"/>
        <v>555</v>
      </c>
      <c r="R122" s="189">
        <v>0</v>
      </c>
      <c r="S122" s="190">
        <f>SUMIFS(MasterTable[Arrears + All Contractual Commitments (value next FY)],MasterTable[[Project Code and Name ]],PAProjects[[#This Row],[LINKING_CODE]],MasterTable[Funding Source],"GoU Funded")/10^9</f>
        <v>1.5</v>
      </c>
      <c r="T122" s="190">
        <f>SUMIFS(MasterTable[Arrears + All Contractual Commitments (value next FY)],MasterTable[[Project Code and Name ]],PAProjects[[#This Row],[LINKING_CODE]],MasterTable[Funding Source],"External Financing")/10^9</f>
        <v>0</v>
      </c>
      <c r="U122" s="191">
        <f>PAProjects[[#This Row],[GOU 21/22]]+PAProjects[[#This Row],[DONOR 21/22]]</f>
        <v>1.5</v>
      </c>
      <c r="V122" s="192">
        <f>SUMIFS(MasterTable[FY1 (FY22-23)],MasterTable[[Project Code and Name ]],PAProjects[[#This Row],[LINKING_CODE]],MasterTable[Funding Source],"GoU Funded")/10^9</f>
        <v>1.5</v>
      </c>
      <c r="W122" s="193">
        <f>SUMIFS(MasterTable[FY1 (FY22-23)],MasterTable[[Project Code and Name ]],PAProjects[[#This Row],[LINKING_CODE]],MasterTable[Funding Source],"External Financing")/10^9</f>
        <v>81.88</v>
      </c>
      <c r="X122" s="191">
        <f>PAProjects[[#This Row],[GOU 22/23]]+PAProjects[[#This Row],[DONOR 22/23]]</f>
        <v>83.38</v>
      </c>
      <c r="Y122" s="193">
        <f>SUMIFS(MasterTable[FY2 (FY23-24)],MasterTable[[Project Code and Name ]],PAProjects[[#This Row],[LINKING_CODE]],MasterTable[Funding Source],"GoU Funded")/10^9</f>
        <v>33.799999999999997</v>
      </c>
      <c r="Z122" s="193">
        <f>SUMIFS(MasterTable[FY2 (FY23-24)],MasterTable[[Project Code and Name ]],PAProjects[[#This Row],[LINKING_CODE]],MasterTable[Funding Source],"External Financing")/10^9</f>
        <v>167.36</v>
      </c>
      <c r="AA122" s="175">
        <f t="shared" si="10"/>
        <v>201.16000000000003</v>
      </c>
      <c r="AB122" s="193">
        <f>SUMIFS(MasterTable[FY3 (FY24-25)],MasterTable[[Project Code and Name ]],PAProjects[[#This Row],[LINKING_CODE]],MasterTable[Funding Source],"GoU Funded")/10^9</f>
        <v>33.799999999999997</v>
      </c>
      <c r="AC122" s="193">
        <f>SUMIFS(MasterTable[FY3 (FY24-25)],MasterTable[[Project Code and Name ]],PAProjects[[#This Row],[LINKING_CODE]],MasterTable[Funding Source],"External Financing")/10^9</f>
        <v>185.7</v>
      </c>
      <c r="AD122" s="202">
        <f>PAProjects[[#This Row],[GOU 24/25]]+PAProjects[[#This Row],[DONOR 24/25]]</f>
        <v>219.5</v>
      </c>
    </row>
    <row r="123" spans="1:30" ht="15" customHeight="1" x14ac:dyDescent="0.25">
      <c r="A123" s="180" t="s">
        <v>120</v>
      </c>
      <c r="B123" s="175" t="s">
        <v>18</v>
      </c>
      <c r="C123" s="175" t="e">
        <f ca="1">PAProjects[[#This Row],[LINKING_CODE]]=_xlfn.CONCAT(PAProjects[[#This Row],[Project Code]]," ",PAProjects[[#This Row],[Project Name]])</f>
        <v>#NAME?</v>
      </c>
      <c r="D123" s="175" t="str">
        <f>VLOOKUP(PAProjects[[#This Row],[LINKING_CODE]],MasterTable[[Project Code and Name ]],1,FALSE)</f>
        <v xml:space="preserve">1673 Retooling of Office of the Prime Minister </v>
      </c>
      <c r="E123" s="175" t="s">
        <v>529</v>
      </c>
      <c r="F123" s="175" t="s">
        <v>934</v>
      </c>
      <c r="G123" s="175" t="s">
        <v>0</v>
      </c>
      <c r="H123" s="175" t="str">
        <f>VLOOKUP(I123,'Program Codes'!C:D,2,FALSE)</f>
        <v>13</v>
      </c>
      <c r="I123" s="175" t="s">
        <v>1113</v>
      </c>
      <c r="J123" s="175" t="s">
        <v>1199</v>
      </c>
      <c r="K123" s="175" t="s">
        <v>846</v>
      </c>
      <c r="L123" s="175" t="str">
        <f t="shared" si="9"/>
        <v>Retooling</v>
      </c>
      <c r="M123" s="182">
        <v>44013</v>
      </c>
      <c r="N123" s="182">
        <v>44742</v>
      </c>
      <c r="O123" s="198">
        <v>14.1015</v>
      </c>
      <c r="P123" s="174"/>
      <c r="Q123" s="174">
        <f t="shared" si="8"/>
        <v>14.1015</v>
      </c>
      <c r="R123" s="189">
        <v>0</v>
      </c>
      <c r="S123" s="190">
        <f>SUMIFS(MasterTable[Arrears + All Contractual Commitments (value next FY)],MasterTable[[Project Code and Name ]],PAProjects[[#This Row],[LINKING_CODE]],MasterTable[Funding Source],"GoU Funded")/10^9</f>
        <v>2.06</v>
      </c>
      <c r="T123" s="190">
        <f>SUMIFS(MasterTable[Arrears + All Contractual Commitments (value next FY)],MasterTable[[Project Code and Name ]],PAProjects[[#This Row],[LINKING_CODE]],MasterTable[Funding Source],"External Financing")/10^9</f>
        <v>0</v>
      </c>
      <c r="U123" s="191">
        <f>PAProjects[[#This Row],[GOU 21/22]]+PAProjects[[#This Row],[DONOR 21/22]]</f>
        <v>2.06</v>
      </c>
      <c r="V123" s="192">
        <f>SUMIFS(MasterTable[FY1 (FY22-23)],MasterTable[[Project Code and Name ]],PAProjects[[#This Row],[LINKING_CODE]],MasterTable[Funding Source],"GoU Funded")/10^9</f>
        <v>5.2912999999999997</v>
      </c>
      <c r="W123" s="193">
        <f>SUMIFS(MasterTable[FY1 (FY22-23)],MasterTable[[Project Code and Name ]],PAProjects[[#This Row],[LINKING_CODE]],MasterTable[Funding Source],"External Financing")/10^9</f>
        <v>0</v>
      </c>
      <c r="X123" s="202">
        <f>PAProjects[[#This Row],[GOU 22/23]]+PAProjects[[#This Row],[DONOR 22/23]]</f>
        <v>5.2912999999999997</v>
      </c>
      <c r="Y123" s="193">
        <f>SUMIFS(MasterTable[FY2 (FY23-24)],MasterTable[[Project Code and Name ]],PAProjects[[#This Row],[LINKING_CODE]],MasterTable[Funding Source],"GoU Funded")/10^9</f>
        <v>2.9058000000000002</v>
      </c>
      <c r="Z123" s="193">
        <f>SUMIFS(MasterTable[FY2 (FY23-24)],MasterTable[[Project Code and Name ]],PAProjects[[#This Row],[LINKING_CODE]],MasterTable[Funding Source],"External Financing")/10^9</f>
        <v>0</v>
      </c>
      <c r="AA123" s="202">
        <f>SUM(Y123:Z123)</f>
        <v>2.9058000000000002</v>
      </c>
      <c r="AB123" s="193">
        <f>SUMIFS(MasterTable[FY3 (FY24-25)],MasterTable[[Project Code and Name ]],PAProjects[[#This Row],[LINKING_CODE]],MasterTable[Funding Source],"GoU Funded")/10^9</f>
        <v>1.7884</v>
      </c>
      <c r="AC123" s="193">
        <f>SUMIFS(MasterTable[FY3 (FY24-25)],MasterTable[[Project Code and Name ]],PAProjects[[#This Row],[LINKING_CODE]],MasterTable[Funding Source],"External Financing")/10^9</f>
        <v>0</v>
      </c>
      <c r="AD123" s="202">
        <f>PAProjects[[#This Row],[GOU 24/25]]+PAProjects[[#This Row],[DONOR 24/25]]</f>
        <v>1.7884</v>
      </c>
    </row>
    <row r="124" spans="1:30" ht="15" customHeight="1" x14ac:dyDescent="0.25">
      <c r="A124" s="180" t="s">
        <v>121</v>
      </c>
      <c r="B124" s="175" t="s">
        <v>449</v>
      </c>
      <c r="C124" s="175" t="e">
        <f ca="1">PAProjects[[#This Row],[LINKING_CODE]]=_xlfn.CONCAT(PAProjects[[#This Row],[Project Code]]," ",PAProjects[[#This Row],[Project Name]])</f>
        <v>#NAME?</v>
      </c>
      <c r="D124" s="175" t="str">
        <f>VLOOKUP(PAProjects[[#This Row],[LINKING_CODE]],MasterTable[[Project Code and Name ]],1,FALSE)</f>
        <v>1675 Retooling of Uganda National Bureau of Standards</v>
      </c>
      <c r="E124" s="175" t="s">
        <v>518</v>
      </c>
      <c r="F124" s="175" t="s">
        <v>927</v>
      </c>
      <c r="G124" s="175" t="s">
        <v>154</v>
      </c>
      <c r="H124" s="175" t="str">
        <f>VLOOKUP(I124,'Program Codes'!C:D,2,FALSE)</f>
        <v>13</v>
      </c>
      <c r="I124" s="175" t="s">
        <v>1113</v>
      </c>
      <c r="J124" s="175" t="s">
        <v>1126</v>
      </c>
      <c r="K124" s="175" t="s">
        <v>664</v>
      </c>
      <c r="L124" s="175" t="str">
        <f t="shared" si="9"/>
        <v>Retooling</v>
      </c>
      <c r="M124" s="182">
        <v>44013</v>
      </c>
      <c r="N124" s="182">
        <v>45838</v>
      </c>
      <c r="O124" s="198">
        <v>58.264576140000003</v>
      </c>
      <c r="P124" s="174"/>
      <c r="Q124" s="174">
        <f t="shared" si="8"/>
        <v>58.264576140000003</v>
      </c>
      <c r="R124" s="189">
        <v>0</v>
      </c>
      <c r="S124" s="190">
        <f>SUMIFS(MasterTable[Arrears + All Contractual Commitments (value next FY)],MasterTable[[Project Code and Name ]],PAProjects[[#This Row],[LINKING_CODE]],MasterTable[Funding Source],"GoU Funded")/10^9</f>
        <v>11.652915227999999</v>
      </c>
      <c r="T124" s="190">
        <f>SUMIFS(MasterTable[Arrears + All Contractual Commitments (value next FY)],MasterTable[[Project Code and Name ]],PAProjects[[#This Row],[LINKING_CODE]],MasterTable[Funding Source],"External Financing")/10^9</f>
        <v>0</v>
      </c>
      <c r="U124" s="202">
        <f>PAProjects[[#This Row],[GOU 21/22]]+PAProjects[[#This Row],[DONOR 21/22]]</f>
        <v>11.652915227999999</v>
      </c>
      <c r="V124" s="192">
        <f>SUMIFS(MasterTable[FY1 (FY22-23)],MasterTable[[Project Code and Name ]],PAProjects[[#This Row],[LINKING_CODE]],MasterTable[Funding Source],"GoU Funded")/10^9</f>
        <v>11.652915227999999</v>
      </c>
      <c r="W124" s="193">
        <f>SUMIFS(MasterTable[FY1 (FY22-23)],MasterTable[[Project Code and Name ]],PAProjects[[#This Row],[LINKING_CODE]],MasterTable[Funding Source],"External Financing")/10^9</f>
        <v>0</v>
      </c>
      <c r="X124" s="202">
        <f>PAProjects[[#This Row],[GOU 22/23]]+PAProjects[[#This Row],[DONOR 22/23]]</f>
        <v>11.652915227999999</v>
      </c>
      <c r="Y124" s="193">
        <f>SUMIFS(MasterTable[FY2 (FY23-24)],MasterTable[[Project Code and Name ]],PAProjects[[#This Row],[LINKING_CODE]],MasterTable[Funding Source],"GoU Funded")/10^9</f>
        <v>11.652915227999999</v>
      </c>
      <c r="Z124" s="193">
        <f>SUMIFS(MasterTable[FY2 (FY23-24)],MasterTable[[Project Code and Name ]],PAProjects[[#This Row],[LINKING_CODE]],MasterTable[Funding Source],"External Financing")/10^9</f>
        <v>0</v>
      </c>
      <c r="AA124" s="202">
        <f>Y124+Z124</f>
        <v>11.652915227999999</v>
      </c>
      <c r="AB124" s="193">
        <f>SUMIFS(MasterTable[FY3 (FY24-25)],MasterTable[[Project Code and Name ]],PAProjects[[#This Row],[LINKING_CODE]],MasterTable[Funding Source],"GoU Funded")/10^9</f>
        <v>11.652915227999999</v>
      </c>
      <c r="AC124" s="193">
        <f>SUMIFS(MasterTable[FY3 (FY24-25)],MasterTable[[Project Code and Name ]],PAProjects[[#This Row],[LINKING_CODE]],MasterTable[Funding Source],"External Financing")/10^9</f>
        <v>0</v>
      </c>
      <c r="AD124" s="202">
        <f>PAProjects[[#This Row],[GOU 24/25]]+PAProjects[[#This Row],[DONOR 24/25]]</f>
        <v>11.652915227999999</v>
      </c>
    </row>
    <row r="125" spans="1:30" ht="15" customHeight="1" x14ac:dyDescent="0.25">
      <c r="A125" s="180" t="s">
        <v>122</v>
      </c>
      <c r="B125" s="175" t="s">
        <v>453</v>
      </c>
      <c r="C125" s="175" t="e">
        <f ca="1">PAProjects[[#This Row],[LINKING_CODE]]=_xlfn.CONCAT(PAProjects[[#This Row],[Project Code]]," ",PAProjects[[#This Row],[Project Name]])</f>
        <v>#NAME?</v>
      </c>
      <c r="D125" s="175" t="str">
        <f>VLOOKUP(PAProjects[[#This Row],[LINKING_CODE]],MasterTable[[Project Code and Name ]],1,FALSE)</f>
        <v>1676 Retooling of Uganda Tourism Board</v>
      </c>
      <c r="E125" s="175" t="s">
        <v>538</v>
      </c>
      <c r="F125" s="175" t="s">
        <v>1229</v>
      </c>
      <c r="G125" s="175" t="s">
        <v>117</v>
      </c>
      <c r="H125" s="175" t="str">
        <f>VLOOKUP(I125,'Program Codes'!C:D,2,FALSE)</f>
        <v>13</v>
      </c>
      <c r="I125" s="175" t="s">
        <v>1113</v>
      </c>
      <c r="J125" s="175" t="s">
        <v>1231</v>
      </c>
      <c r="K125" s="175" t="s">
        <v>873</v>
      </c>
      <c r="L125" s="175" t="str">
        <f t="shared" si="9"/>
        <v>Retooling</v>
      </c>
      <c r="M125" s="188">
        <v>44013</v>
      </c>
      <c r="N125" s="182">
        <v>45838</v>
      </c>
      <c r="O125" s="183">
        <v>14.515000000000001</v>
      </c>
      <c r="P125" s="174"/>
      <c r="Q125" s="174">
        <f t="shared" si="8"/>
        <v>14.515000000000001</v>
      </c>
      <c r="R125" s="189">
        <v>0.06</v>
      </c>
      <c r="S125" s="190">
        <f>SUMIFS(MasterTable[Arrears + All Contractual Commitments (value next FY)],MasterTable[[Project Code and Name ]],PAProjects[[#This Row],[LINKING_CODE]],MasterTable[Funding Source],"GoU Funded")/10^9</f>
        <v>4.7439999999999998</v>
      </c>
      <c r="T125" s="190">
        <f>SUMIFS(MasterTable[Arrears + All Contractual Commitments (value next FY)],MasterTable[[Project Code and Name ]],PAProjects[[#This Row],[LINKING_CODE]],MasterTable[Funding Source],"External Financing")/10^9</f>
        <v>0</v>
      </c>
      <c r="U125" s="202">
        <f>PAProjects[[#This Row],[GOU 21/22]]+PAProjects[[#This Row],[DONOR 21/22]]</f>
        <v>4.7439999999999998</v>
      </c>
      <c r="V125" s="192">
        <f>SUMIFS(MasterTable[FY1 (FY22-23)],MasterTable[[Project Code and Name ]],PAProjects[[#This Row],[LINKING_CODE]],MasterTable[Funding Source],"GoU Funded")/10^9</f>
        <v>4.1920000000000002</v>
      </c>
      <c r="W125" s="193">
        <f>SUMIFS(MasterTable[FY1 (FY22-23)],MasterTable[[Project Code and Name ]],PAProjects[[#This Row],[LINKING_CODE]],MasterTable[Funding Source],"External Financing")/10^9</f>
        <v>0</v>
      </c>
      <c r="X125" s="202">
        <f>PAProjects[[#This Row],[GOU 22/23]]+PAProjects[[#This Row],[DONOR 22/23]]</f>
        <v>4.1920000000000002</v>
      </c>
      <c r="Y125" s="193">
        <f>SUMIFS(MasterTable[FY2 (FY23-24)],MasterTable[[Project Code and Name ]],PAProjects[[#This Row],[LINKING_CODE]],MasterTable[Funding Source],"GoU Funded")/10^9</f>
        <v>2.5510000000000002</v>
      </c>
      <c r="Z125" s="193">
        <f>SUMIFS(MasterTable[FY2 (FY23-24)],MasterTable[[Project Code and Name ]],PAProjects[[#This Row],[LINKING_CODE]],MasterTable[Funding Source],"External Financing")/10^9</f>
        <v>0</v>
      </c>
      <c r="AA125" s="202">
        <f>SUM(Y125:Z125)</f>
        <v>2.5510000000000002</v>
      </c>
      <c r="AB125" s="193">
        <f>SUMIFS(MasterTable[FY3 (FY24-25)],MasterTable[[Project Code and Name ]],PAProjects[[#This Row],[LINKING_CODE]],MasterTable[Funding Source],"GoU Funded")/10^9</f>
        <v>2.8730000000000002</v>
      </c>
      <c r="AC125" s="193">
        <f>SUMIFS(MasterTable[FY3 (FY24-25)],MasterTable[[Project Code and Name ]],PAProjects[[#This Row],[LINKING_CODE]],MasterTable[Funding Source],"External Financing")/10^9</f>
        <v>0</v>
      </c>
      <c r="AD125" s="202">
        <f>PAProjects[[#This Row],[GOU 24/25]]+PAProjects[[#This Row],[DONOR 24/25]]</f>
        <v>2.8730000000000002</v>
      </c>
    </row>
    <row r="126" spans="1:30" ht="15" customHeight="1" x14ac:dyDescent="0.25">
      <c r="A126" s="180" t="s">
        <v>123</v>
      </c>
      <c r="B126" s="175" t="s">
        <v>479</v>
      </c>
      <c r="C126" s="175" t="e">
        <f ca="1">PAProjects[[#This Row],[LINKING_CODE]]=_xlfn.CONCAT(PAProjects[[#This Row],[Project Code]]," ",PAProjects[[#This Row],[Project Name]])</f>
        <v>#NAME?</v>
      </c>
      <c r="D126" s="175" t="str">
        <f>VLOOKUP(PAProjects[[#This Row],[LINKING_CODE]],MasterTable[[Project Code and Name ]],1,FALSE)</f>
        <v>1680 Retooling of Soroti University</v>
      </c>
      <c r="E126" s="175" t="s">
        <v>519</v>
      </c>
      <c r="F126" s="175" t="s">
        <v>960</v>
      </c>
      <c r="G126" s="175" t="s">
        <v>308</v>
      </c>
      <c r="H126" s="175" t="str">
        <f>VLOOKUP(I126,'Program Codes'!C:D,2,FALSE)</f>
        <v>13</v>
      </c>
      <c r="I126" s="175" t="s">
        <v>1113</v>
      </c>
      <c r="J126" s="175" t="s">
        <v>1142</v>
      </c>
      <c r="K126" s="175" t="s">
        <v>694</v>
      </c>
      <c r="L126" s="175" t="str">
        <f t="shared" si="9"/>
        <v>Retooling</v>
      </c>
      <c r="M126" s="182">
        <v>44013</v>
      </c>
      <c r="N126" s="182">
        <v>45838</v>
      </c>
      <c r="O126" s="174">
        <v>10.1</v>
      </c>
      <c r="P126" s="174"/>
      <c r="Q126" s="174">
        <f t="shared" si="8"/>
        <v>10.1</v>
      </c>
      <c r="R126" s="189">
        <v>0</v>
      </c>
      <c r="S126" s="190">
        <f>SUMIFS(MasterTable[Arrears + All Contractual Commitments (value next FY)],MasterTable[[Project Code and Name ]],PAProjects[[#This Row],[LINKING_CODE]],MasterTable[Funding Source],"GoU Funded")/10^9</f>
        <v>3.85</v>
      </c>
      <c r="T126" s="190">
        <f>SUMIFS(MasterTable[Arrears + All Contractual Commitments (value next FY)],MasterTable[[Project Code and Name ]],PAProjects[[#This Row],[LINKING_CODE]],MasterTable[Funding Source],"External Financing")/10^9</f>
        <v>0</v>
      </c>
      <c r="U126" s="202">
        <f>PAProjects[[#This Row],[GOU 21/22]]+PAProjects[[#This Row],[DONOR 21/22]]</f>
        <v>3.85</v>
      </c>
      <c r="V126" s="192">
        <f>SUMIFS(MasterTable[FY1 (FY22-23)],MasterTable[[Project Code and Name ]],PAProjects[[#This Row],[LINKING_CODE]],MasterTable[Funding Source],"GoU Funded")/10^9</f>
        <v>1.65</v>
      </c>
      <c r="W126" s="193">
        <f>SUMIFS(MasterTable[FY1 (FY22-23)],MasterTable[[Project Code and Name ]],PAProjects[[#This Row],[LINKING_CODE]],MasterTable[Funding Source],"External Financing")/10^9</f>
        <v>0</v>
      </c>
      <c r="X126" s="202">
        <f>PAProjects[[#This Row],[GOU 22/23]]+PAProjects[[#This Row],[DONOR 22/23]]</f>
        <v>1.65</v>
      </c>
      <c r="Y126" s="193">
        <f>SUMIFS(MasterTable[FY2 (FY23-24)],MasterTable[[Project Code and Name ]],PAProjects[[#This Row],[LINKING_CODE]],MasterTable[Funding Source],"GoU Funded")/10^9</f>
        <v>1.55</v>
      </c>
      <c r="Z126" s="193">
        <f>SUMIFS(MasterTable[FY2 (FY23-24)],MasterTable[[Project Code and Name ]],PAProjects[[#This Row],[LINKING_CODE]],MasterTable[Funding Source],"External Financing")/10^9</f>
        <v>0</v>
      </c>
      <c r="AA126" s="202">
        <f t="shared" ref="AA126:AA132" si="11">Y126+Z126</f>
        <v>1.55</v>
      </c>
      <c r="AB126" s="193">
        <f>SUMIFS(MasterTable[FY3 (FY24-25)],MasterTable[[Project Code and Name ]],PAProjects[[#This Row],[LINKING_CODE]],MasterTable[Funding Source],"GoU Funded")/10^9</f>
        <v>1.1499999999999999</v>
      </c>
      <c r="AC126" s="193">
        <f>SUMIFS(MasterTable[FY3 (FY24-25)],MasterTable[[Project Code and Name ]],PAProjects[[#This Row],[LINKING_CODE]],MasterTable[Funding Source],"External Financing")/10^9</f>
        <v>0</v>
      </c>
      <c r="AD126" s="202">
        <f>PAProjects[[#This Row],[GOU 24/25]]+PAProjects[[#This Row],[DONOR 24/25]]</f>
        <v>1.1499999999999999</v>
      </c>
    </row>
    <row r="127" spans="1:30" ht="15" customHeight="1" x14ac:dyDescent="0.25">
      <c r="A127" s="180" t="s">
        <v>124</v>
      </c>
      <c r="B127" s="175" t="s">
        <v>382</v>
      </c>
      <c r="C127" s="175" t="e">
        <f ca="1">PAProjects[[#This Row],[LINKING_CODE]]=_xlfn.CONCAT(PAProjects[[#This Row],[Project Code]]," ",PAProjects[[#This Row],[Project Name]])</f>
        <v>#NAME?</v>
      </c>
      <c r="D127" s="175" t="str">
        <f>VLOOKUP(PAProjects[[#This Row],[LINKING_CODE]],MasterTable[[Project Code and Name ]],1,FALSE)</f>
        <v>1688 Retooling of Uganda Export Promotion Board</v>
      </c>
      <c r="E127" s="175" t="s">
        <v>518</v>
      </c>
      <c r="F127" s="175" t="s">
        <v>927</v>
      </c>
      <c r="G127" s="175" t="s">
        <v>306</v>
      </c>
      <c r="H127" s="175" t="str">
        <f>VLOOKUP(I127,'Program Codes'!C:D,2,FALSE)</f>
        <v>13</v>
      </c>
      <c r="I127" s="175" t="s">
        <v>1113</v>
      </c>
      <c r="J127" s="175" t="s">
        <v>1127</v>
      </c>
      <c r="K127" s="175" t="s">
        <v>665</v>
      </c>
      <c r="L127" s="175" t="str">
        <f t="shared" si="9"/>
        <v>Retooling</v>
      </c>
      <c r="M127" s="182">
        <v>44013</v>
      </c>
      <c r="N127" s="182">
        <v>45838</v>
      </c>
      <c r="O127" s="198">
        <v>7.2662810000000002</v>
      </c>
      <c r="P127" s="174"/>
      <c r="Q127" s="174">
        <f t="shared" si="8"/>
        <v>7.2662810000000002</v>
      </c>
      <c r="R127" s="189">
        <v>0</v>
      </c>
      <c r="S127" s="190">
        <f>SUMIFS(MasterTable[Arrears + All Contractual Commitments (value next FY)],MasterTable[[Project Code and Name ]],PAProjects[[#This Row],[LINKING_CODE]],MasterTable[Funding Source],"GoU Funded")/10^9</f>
        <v>2.2629999999999999</v>
      </c>
      <c r="T127" s="190">
        <f>SUMIFS(MasterTable[Arrears + All Contractual Commitments (value next FY)],MasterTable[[Project Code and Name ]],PAProjects[[#This Row],[LINKING_CODE]],MasterTable[Funding Source],"External Financing")/10^9</f>
        <v>0</v>
      </c>
      <c r="U127" s="202">
        <f>PAProjects[[#This Row],[GOU 21/22]]+PAProjects[[#This Row],[DONOR 21/22]]</f>
        <v>2.2629999999999999</v>
      </c>
      <c r="V127" s="192">
        <f>SUMIFS(MasterTable[FY1 (FY22-23)],MasterTable[[Project Code and Name ]],PAProjects[[#This Row],[LINKING_CODE]],MasterTable[Funding Source],"GoU Funded")/10^9</f>
        <v>2.2190002799999999</v>
      </c>
      <c r="W127" s="193">
        <f>SUMIFS(MasterTable[FY1 (FY22-23)],MasterTable[[Project Code and Name ]],PAProjects[[#This Row],[LINKING_CODE]],MasterTable[Funding Source],"External Financing")/10^9</f>
        <v>0</v>
      </c>
      <c r="X127" s="202">
        <f>PAProjects[[#This Row],[GOU 22/23]]+PAProjects[[#This Row],[DONOR 22/23]]</f>
        <v>2.2190002799999999</v>
      </c>
      <c r="Y127" s="193">
        <f>SUMIFS(MasterTable[FY2 (FY23-24)],MasterTable[[Project Code and Name ]],PAProjects[[#This Row],[LINKING_CODE]],MasterTable[Funding Source],"GoU Funded")/10^9</f>
        <v>1.569</v>
      </c>
      <c r="Z127" s="193">
        <f>SUMIFS(MasterTable[FY2 (FY23-24)],MasterTable[[Project Code and Name ]],PAProjects[[#This Row],[LINKING_CODE]],MasterTable[Funding Source],"External Financing")/10^9</f>
        <v>0</v>
      </c>
      <c r="AA127" s="202">
        <f t="shared" si="11"/>
        <v>1.569</v>
      </c>
      <c r="AB127" s="193">
        <f>SUMIFS(MasterTable[FY3 (FY24-25)],MasterTable[[Project Code and Name ]],PAProjects[[#This Row],[LINKING_CODE]],MasterTable[Funding Source],"GoU Funded")/10^9</f>
        <v>1.159</v>
      </c>
      <c r="AC127" s="193">
        <f>SUMIFS(MasterTable[FY3 (FY24-25)],MasterTable[[Project Code and Name ]],PAProjects[[#This Row],[LINKING_CODE]],MasterTable[Funding Source],"External Financing")/10^9</f>
        <v>0</v>
      </c>
      <c r="AD127" s="202">
        <f>PAProjects[[#This Row],[GOU 24/25]]+PAProjects[[#This Row],[DONOR 24/25]]</f>
        <v>1.159</v>
      </c>
    </row>
    <row r="128" spans="1:30" ht="15" customHeight="1" x14ac:dyDescent="0.25">
      <c r="A128" s="180" t="s">
        <v>125</v>
      </c>
      <c r="B128" s="175" t="s">
        <v>379</v>
      </c>
      <c r="C128" s="175" t="e">
        <f ca="1">PAProjects[[#This Row],[LINKING_CODE]]=_xlfn.CONCAT(PAProjects[[#This Row],[Project Code]]," ",PAProjects[[#This Row],[Project Name]])</f>
        <v>#NAME?</v>
      </c>
      <c r="D128" s="175" t="str">
        <f>VLOOKUP(PAProjects[[#This Row],[LINKING_CODE]],MasterTable[[Project Code and Name ]],1,FALSE)</f>
        <v>1689 Retooling of Ministry of Trade and Industry</v>
      </c>
      <c r="E128" s="175" t="s">
        <v>518</v>
      </c>
      <c r="F128" s="175" t="s">
        <v>927</v>
      </c>
      <c r="G128" s="175" t="s">
        <v>98</v>
      </c>
      <c r="H128" s="175" t="str">
        <f>VLOOKUP(I128,'Program Codes'!C:D,2,FALSE)</f>
        <v>13</v>
      </c>
      <c r="I128" s="175" t="s">
        <v>1113</v>
      </c>
      <c r="J128" s="175" t="s">
        <v>1125</v>
      </c>
      <c r="K128" s="175" t="s">
        <v>666</v>
      </c>
      <c r="L128" s="175" t="str">
        <f t="shared" si="9"/>
        <v>Retooling</v>
      </c>
      <c r="M128" s="182">
        <v>44013</v>
      </c>
      <c r="N128" s="182">
        <v>45838</v>
      </c>
      <c r="O128" s="198">
        <v>11.7</v>
      </c>
      <c r="P128" s="174"/>
      <c r="Q128" s="174">
        <f t="shared" si="8"/>
        <v>11.7</v>
      </c>
      <c r="R128" s="189">
        <v>0</v>
      </c>
      <c r="S128" s="190">
        <f>SUMIFS(MasterTable[Arrears + All Contractual Commitments (value next FY)],MasterTable[[Project Code and Name ]],PAProjects[[#This Row],[LINKING_CODE]],MasterTable[Funding Source],"GoU Funded")/10^9</f>
        <v>2.7275</v>
      </c>
      <c r="T128" s="190">
        <f>SUMIFS(MasterTable[Arrears + All Contractual Commitments (value next FY)],MasterTable[[Project Code and Name ]],PAProjects[[#This Row],[LINKING_CODE]],MasterTable[Funding Source],"External Financing")/10^9</f>
        <v>0</v>
      </c>
      <c r="U128" s="202">
        <f>PAProjects[[#This Row],[GOU 21/22]]+PAProjects[[#This Row],[DONOR 21/22]]</f>
        <v>2.7275</v>
      </c>
      <c r="V128" s="192">
        <f>SUMIFS(MasterTable[FY1 (FY22-23)],MasterTable[[Project Code and Name ]],PAProjects[[#This Row],[LINKING_CODE]],MasterTable[Funding Source],"GoU Funded")/10^9</f>
        <v>3.56</v>
      </c>
      <c r="W128" s="193">
        <f>SUMIFS(MasterTable[FY1 (FY22-23)],MasterTable[[Project Code and Name ]],PAProjects[[#This Row],[LINKING_CODE]],MasterTable[Funding Source],"External Financing")/10^9</f>
        <v>0</v>
      </c>
      <c r="X128" s="202">
        <f>PAProjects[[#This Row],[GOU 22/23]]+PAProjects[[#This Row],[DONOR 22/23]]</f>
        <v>3.56</v>
      </c>
      <c r="Y128" s="193">
        <f>SUMIFS(MasterTable[FY2 (FY23-24)],MasterTable[[Project Code and Name ]],PAProjects[[#This Row],[LINKING_CODE]],MasterTable[Funding Source],"GoU Funded")/10^9</f>
        <v>3.0274999999999999</v>
      </c>
      <c r="Z128" s="193">
        <f>SUMIFS(MasterTable[FY2 (FY23-24)],MasterTable[[Project Code and Name ]],PAProjects[[#This Row],[LINKING_CODE]],MasterTable[Funding Source],"External Financing")/10^9</f>
        <v>0</v>
      </c>
      <c r="AA128" s="202">
        <f t="shared" si="11"/>
        <v>3.0274999999999999</v>
      </c>
      <c r="AB128" s="193">
        <f>SUMIFS(MasterTable[FY3 (FY24-25)],MasterTable[[Project Code and Name ]],PAProjects[[#This Row],[LINKING_CODE]],MasterTable[Funding Source],"GoU Funded")/10^9</f>
        <v>1.923</v>
      </c>
      <c r="AC128" s="193">
        <f>SUMIFS(MasterTable[FY3 (FY24-25)],MasterTable[[Project Code and Name ]],PAProjects[[#This Row],[LINKING_CODE]],MasterTable[Funding Source],"External Financing")/10^9</f>
        <v>0</v>
      </c>
      <c r="AD128" s="202">
        <f>PAProjects[[#This Row],[GOU 24/25]]+PAProjects[[#This Row],[DONOR 24/25]]</f>
        <v>1.923</v>
      </c>
    </row>
    <row r="129" spans="1:30" ht="15" customHeight="1" x14ac:dyDescent="0.25">
      <c r="A129" s="180" t="s">
        <v>126</v>
      </c>
      <c r="B129" s="175" t="s">
        <v>420</v>
      </c>
      <c r="C129" s="175" t="e">
        <f ca="1">PAProjects[[#This Row],[LINKING_CODE]]=_xlfn.CONCAT(PAProjects[[#This Row],[Project Code]]," ",PAProjects[[#This Row],[Project Name]])</f>
        <v>#NAME?</v>
      </c>
      <c r="D129" s="175" t="str">
        <f>VLOOKUP(PAProjects[[#This Row],[LINKING_CODE]],MasterTable[[Project Code and Name ]],1,FALSE)</f>
        <v>1692 Rehabilitation of Masaka Town Roads (7.3 KM)</v>
      </c>
      <c r="E129" s="175" t="s">
        <v>515</v>
      </c>
      <c r="F129" s="175" t="s">
        <v>944</v>
      </c>
      <c r="G129" s="175" t="s">
        <v>113</v>
      </c>
      <c r="H129" s="175" t="str">
        <f>VLOOKUP(I129,'Program Codes'!C:D,2,FALSE)</f>
        <v>08</v>
      </c>
      <c r="I129" s="175" t="s">
        <v>1007</v>
      </c>
      <c r="J129" s="175" t="s">
        <v>1074</v>
      </c>
      <c r="K129" s="175" t="s">
        <v>1075</v>
      </c>
      <c r="L129" s="175" t="s">
        <v>1509</v>
      </c>
      <c r="M129" s="182">
        <v>44013</v>
      </c>
      <c r="N129" s="182">
        <v>45838</v>
      </c>
      <c r="O129" s="174">
        <v>38.445999999999998</v>
      </c>
      <c r="P129" s="174"/>
      <c r="Q129" s="174">
        <f t="shared" si="8"/>
        <v>38.445999999999998</v>
      </c>
      <c r="R129" s="189">
        <v>0</v>
      </c>
      <c r="S129" s="190">
        <f>SUMIFS(MasterTable[Arrears + All Contractual Commitments (value next FY)],MasterTable[[Project Code and Name ]],PAProjects[[#This Row],[LINKING_CODE]],MasterTable[Funding Source],"GoU Funded")/10^9</f>
        <v>16</v>
      </c>
      <c r="T129" s="190">
        <f>SUMIFS(MasterTable[Arrears + All Contractual Commitments (value next FY)],MasterTable[[Project Code and Name ]],PAProjects[[#This Row],[LINKING_CODE]],MasterTable[Funding Source],"External Financing")/10^9</f>
        <v>0</v>
      </c>
      <c r="U129" s="191">
        <f>PAProjects[[#This Row],[GOU 21/22]]+PAProjects[[#This Row],[DONOR 21/22]]</f>
        <v>16</v>
      </c>
      <c r="V129" s="192">
        <f>SUMIFS(MasterTable[FY1 (FY22-23)],MasterTable[[Project Code and Name ]],PAProjects[[#This Row],[LINKING_CODE]],MasterTable[Funding Source],"GoU Funded")/10^9</f>
        <v>0</v>
      </c>
      <c r="W129" s="193">
        <f>SUMIFS(MasterTable[FY1 (FY22-23)],MasterTable[[Project Code and Name ]],PAProjects[[#This Row],[LINKING_CODE]],MasterTable[Funding Source],"External Financing")/10^9</f>
        <v>0</v>
      </c>
      <c r="X129" s="191">
        <f>PAProjects[[#This Row],[GOU 22/23]]+PAProjects[[#This Row],[DONOR 22/23]]</f>
        <v>0</v>
      </c>
      <c r="Y129" s="193">
        <f>SUMIFS(MasterTable[FY2 (FY23-24)],MasterTable[[Project Code and Name ]],PAProjects[[#This Row],[LINKING_CODE]],MasterTable[Funding Source],"GoU Funded")/10^9</f>
        <v>0</v>
      </c>
      <c r="Z129" s="193">
        <f>SUMIFS(MasterTable[FY2 (FY23-24)],MasterTable[[Project Code and Name ]],PAProjects[[#This Row],[LINKING_CODE]],MasterTable[Funding Source],"External Financing")/10^9</f>
        <v>0</v>
      </c>
      <c r="AA129" s="175">
        <f t="shared" si="11"/>
        <v>0</v>
      </c>
      <c r="AB129" s="193">
        <f>SUMIFS(MasterTable[FY3 (FY24-25)],MasterTable[[Project Code and Name ]],PAProjects[[#This Row],[LINKING_CODE]],MasterTable[Funding Source],"GoU Funded")/10^9</f>
        <v>0</v>
      </c>
      <c r="AC129" s="193">
        <f>SUMIFS(MasterTable[FY3 (FY24-25)],MasterTable[[Project Code and Name ]],PAProjects[[#This Row],[LINKING_CODE]],MasterTable[Funding Source],"External Financing")/10^9</f>
        <v>0</v>
      </c>
      <c r="AD129" s="202">
        <f>PAProjects[[#This Row],[GOU 24/25]]+PAProjects[[#This Row],[DONOR 24/25]]</f>
        <v>0</v>
      </c>
    </row>
    <row r="130" spans="1:30" ht="15" customHeight="1" x14ac:dyDescent="0.25">
      <c r="A130" s="180" t="s">
        <v>127</v>
      </c>
      <c r="B130" s="175" t="s">
        <v>421</v>
      </c>
      <c r="C130" s="175" t="e">
        <f ca="1">PAProjects[[#This Row],[LINKING_CODE]]=_xlfn.CONCAT(PAProjects[[#This Row],[Project Code]]," ",PAProjects[[#This Row],[Project Name]])</f>
        <v>#NAME?</v>
      </c>
      <c r="D130" s="175" t="str">
        <f>VLOOKUP(PAProjects[[#This Row],[LINKING_CODE]],MasterTable[[Project Code and Name ]],1,FALSE)</f>
        <v>1693 Rehabilitation of Kampala-Jinja Highway(72 KM)</v>
      </c>
      <c r="E130" s="175" t="s">
        <v>515</v>
      </c>
      <c r="F130" s="175" t="s">
        <v>944</v>
      </c>
      <c r="G130" s="175" t="s">
        <v>113</v>
      </c>
      <c r="H130" s="175" t="str">
        <f>VLOOKUP(I130,'Program Codes'!C:D,2,FALSE)</f>
        <v>08</v>
      </c>
      <c r="I130" s="175" t="s">
        <v>1007</v>
      </c>
      <c r="J130" s="175" t="s">
        <v>1076</v>
      </c>
      <c r="K130" s="175" t="s">
        <v>1077</v>
      </c>
      <c r="L130" s="175" t="s">
        <v>1509</v>
      </c>
      <c r="M130" s="182">
        <v>44013</v>
      </c>
      <c r="N130" s="182">
        <v>45838</v>
      </c>
      <c r="O130" s="174">
        <v>234.5</v>
      </c>
      <c r="P130" s="174"/>
      <c r="Q130" s="174">
        <f t="shared" si="8"/>
        <v>234.5</v>
      </c>
      <c r="R130" s="189">
        <v>0</v>
      </c>
      <c r="S130" s="190">
        <f>SUMIFS(MasterTable[Arrears + All Contractual Commitments (value next FY)],MasterTable[[Project Code and Name ]],PAProjects[[#This Row],[LINKING_CODE]],MasterTable[Funding Source],"GoU Funded")/10^9</f>
        <v>0</v>
      </c>
      <c r="T130" s="190">
        <f>SUMIFS(MasterTable[Arrears + All Contractual Commitments (value next FY)],MasterTable[[Project Code and Name ]],PAProjects[[#This Row],[LINKING_CODE]],MasterTable[Funding Source],"External Financing")/10^9</f>
        <v>0</v>
      </c>
      <c r="U130" s="191">
        <f>PAProjects[[#This Row],[GOU 21/22]]+PAProjects[[#This Row],[DONOR 21/22]]</f>
        <v>0</v>
      </c>
      <c r="V130" s="192">
        <f>SUMIFS(MasterTable[FY1 (FY22-23)],MasterTable[[Project Code and Name ]],PAProjects[[#This Row],[LINKING_CODE]],MasterTable[Funding Source],"GoU Funded")/10^9</f>
        <v>0</v>
      </c>
      <c r="W130" s="193">
        <f>SUMIFS(MasterTable[FY1 (FY22-23)],MasterTable[[Project Code and Name ]],PAProjects[[#This Row],[LINKING_CODE]],MasterTable[Funding Source],"External Financing")/10^9</f>
        <v>0</v>
      </c>
      <c r="X130" s="191">
        <f>PAProjects[[#This Row],[GOU 22/23]]+PAProjects[[#This Row],[DONOR 22/23]]</f>
        <v>0</v>
      </c>
      <c r="Y130" s="193">
        <f>SUMIFS(MasterTable[FY2 (FY23-24)],MasterTable[[Project Code and Name ]],PAProjects[[#This Row],[LINKING_CODE]],MasterTable[Funding Source],"GoU Funded")/10^9</f>
        <v>0</v>
      </c>
      <c r="Z130" s="193">
        <f>SUMIFS(MasterTable[FY2 (FY23-24)],MasterTable[[Project Code and Name ]],PAProjects[[#This Row],[LINKING_CODE]],MasterTable[Funding Source],"External Financing")/10^9</f>
        <v>0</v>
      </c>
      <c r="AA130" s="175">
        <f t="shared" si="11"/>
        <v>0</v>
      </c>
      <c r="AB130" s="193">
        <f>SUMIFS(MasterTable[FY3 (FY24-25)],MasterTable[[Project Code and Name ]],PAProjects[[#This Row],[LINKING_CODE]],MasterTable[Funding Source],"GoU Funded")/10^9</f>
        <v>0</v>
      </c>
      <c r="AC130" s="193">
        <f>SUMIFS(MasterTable[FY3 (FY24-25)],MasterTable[[Project Code and Name ]],PAProjects[[#This Row],[LINKING_CODE]],MasterTable[Funding Source],"External Financing")/10^9</f>
        <v>0</v>
      </c>
      <c r="AD130" s="202">
        <f>PAProjects[[#This Row],[GOU 24/25]]+PAProjects[[#This Row],[DONOR 24/25]]</f>
        <v>0</v>
      </c>
    </row>
    <row r="131" spans="1:30" ht="15" customHeight="1" x14ac:dyDescent="0.25">
      <c r="A131" s="180" t="s">
        <v>128</v>
      </c>
      <c r="B131" s="175" t="s">
        <v>422</v>
      </c>
      <c r="C131" s="175" t="e">
        <f ca="1">PAProjects[[#This Row],[LINKING_CODE]]=_xlfn.CONCAT(PAProjects[[#This Row],[Project Code]]," ",PAProjects[[#This Row],[Project Name]])</f>
        <v>#NAME?</v>
      </c>
      <c r="D131" s="175" t="str">
        <f>VLOOKUP(PAProjects[[#This Row],[LINKING_CODE]],MasterTable[[Project Code and Name ]],1,FALSE)</f>
        <v>1694 Rehabilitation  of Mityana-Mubende Road(100KM)</v>
      </c>
      <c r="E131" s="175" t="s">
        <v>515</v>
      </c>
      <c r="F131" s="175" t="s">
        <v>944</v>
      </c>
      <c r="G131" s="175" t="s">
        <v>113</v>
      </c>
      <c r="H131" s="175" t="str">
        <f>VLOOKUP(I131,'Program Codes'!C:D,2,FALSE)</f>
        <v>08</v>
      </c>
      <c r="I131" s="175" t="s">
        <v>1007</v>
      </c>
      <c r="J131" s="175" t="s">
        <v>1078</v>
      </c>
      <c r="K131" s="175" t="s">
        <v>1079</v>
      </c>
      <c r="L131" s="175" t="s">
        <v>1509</v>
      </c>
      <c r="M131" s="182">
        <v>44013</v>
      </c>
      <c r="N131" s="182">
        <v>45838</v>
      </c>
      <c r="O131" s="174">
        <v>641.99599999999998</v>
      </c>
      <c r="P131" s="174"/>
      <c r="Q131" s="174">
        <f t="shared" si="8"/>
        <v>641.99599999999998</v>
      </c>
      <c r="R131" s="189">
        <v>0</v>
      </c>
      <c r="S131" s="190">
        <f>SUMIFS(MasterTable[Arrears + All Contractual Commitments (value next FY)],MasterTable[[Project Code and Name ]],PAProjects[[#This Row],[LINKING_CODE]],MasterTable[Funding Source],"GoU Funded")/10^9</f>
        <v>101</v>
      </c>
      <c r="T131" s="190">
        <f>SUMIFS(MasterTable[Arrears + All Contractual Commitments (value next FY)],MasterTable[[Project Code and Name ]],PAProjects[[#This Row],[LINKING_CODE]],MasterTable[Funding Source],"External Financing")/10^9</f>
        <v>0</v>
      </c>
      <c r="U131" s="191">
        <f>PAProjects[[#This Row],[GOU 21/22]]+PAProjects[[#This Row],[DONOR 21/22]]</f>
        <v>101</v>
      </c>
      <c r="V131" s="192">
        <f>SUMIFS(MasterTable[FY1 (FY22-23)],MasterTable[[Project Code and Name ]],PAProjects[[#This Row],[LINKING_CODE]],MasterTable[Funding Source],"GoU Funded")/10^9</f>
        <v>101</v>
      </c>
      <c r="W131" s="193">
        <f>SUMIFS(MasterTable[FY1 (FY22-23)],MasterTable[[Project Code and Name ]],PAProjects[[#This Row],[LINKING_CODE]],MasterTable[Funding Source],"External Financing")/10^9</f>
        <v>0</v>
      </c>
      <c r="X131" s="191">
        <f>PAProjects[[#This Row],[GOU 22/23]]+PAProjects[[#This Row],[DONOR 22/23]]</f>
        <v>101</v>
      </c>
      <c r="Y131" s="193">
        <f>SUMIFS(MasterTable[FY2 (FY23-24)],MasterTable[[Project Code and Name ]],PAProjects[[#This Row],[LINKING_CODE]],MasterTable[Funding Source],"GoU Funded")/10^9</f>
        <v>101</v>
      </c>
      <c r="Z131" s="193">
        <f>SUMIFS(MasterTable[FY2 (FY23-24)],MasterTable[[Project Code and Name ]],PAProjects[[#This Row],[LINKING_CODE]],MasterTable[Funding Source],"External Financing")/10^9</f>
        <v>0</v>
      </c>
      <c r="AA131" s="175">
        <f t="shared" si="11"/>
        <v>101</v>
      </c>
      <c r="AB131" s="193">
        <f>SUMIFS(MasterTable[FY3 (FY24-25)],MasterTable[[Project Code and Name ]],PAProjects[[#This Row],[LINKING_CODE]],MasterTable[Funding Source],"GoU Funded")/10^9</f>
        <v>40</v>
      </c>
      <c r="AC131" s="193">
        <f>SUMIFS(MasterTable[FY3 (FY24-25)],MasterTable[[Project Code and Name ]],PAProjects[[#This Row],[LINKING_CODE]],MasterTable[Funding Source],"External Financing")/10^9</f>
        <v>0</v>
      </c>
      <c r="AD131" s="202">
        <f>PAProjects[[#This Row],[GOU 24/25]]+PAProjects[[#This Row],[DONOR 24/25]]</f>
        <v>40</v>
      </c>
    </row>
    <row r="132" spans="1:30" ht="15" customHeight="1" x14ac:dyDescent="0.25">
      <c r="A132" s="180" t="s">
        <v>129</v>
      </c>
      <c r="B132" s="175" t="s">
        <v>423</v>
      </c>
      <c r="C132" s="175" t="e">
        <f ca="1">PAProjects[[#This Row],[LINKING_CODE]]=_xlfn.CONCAT(PAProjects[[#This Row],[Project Code]]," ",PAProjects[[#This Row],[Project Name]])</f>
        <v>#NAME?</v>
      </c>
      <c r="D132" s="175" t="str">
        <f>VLOOKUP(PAProjects[[#This Row],[LINKING_CODE]],MasterTable[[Project Code and Name ]],1,FALSE)</f>
        <v>1695 Rehabilitation of Packwach-Nebbi Section 2 Road(33KM)</v>
      </c>
      <c r="E132" s="175" t="s">
        <v>515</v>
      </c>
      <c r="F132" s="175" t="s">
        <v>944</v>
      </c>
      <c r="G132" s="175" t="s">
        <v>113</v>
      </c>
      <c r="H132" s="175" t="str">
        <f>VLOOKUP(I132,'Program Codes'!C:D,2,FALSE)</f>
        <v>08</v>
      </c>
      <c r="I132" s="175" t="s">
        <v>1007</v>
      </c>
      <c r="J132" s="175" t="s">
        <v>1080</v>
      </c>
      <c r="K132" s="175" t="s">
        <v>1081</v>
      </c>
      <c r="L132" s="175" t="s">
        <v>1509</v>
      </c>
      <c r="M132" s="182">
        <v>44013</v>
      </c>
      <c r="N132" s="182">
        <v>45838</v>
      </c>
      <c r="O132" s="174">
        <v>140.935</v>
      </c>
      <c r="P132" s="174"/>
      <c r="Q132" s="174">
        <f t="shared" si="8"/>
        <v>140.935</v>
      </c>
      <c r="R132" s="189">
        <v>0</v>
      </c>
      <c r="S132" s="190">
        <f>SUMIFS(MasterTable[Arrears + All Contractual Commitments (value next FY)],MasterTable[[Project Code and Name ]],PAProjects[[#This Row],[LINKING_CODE]],MasterTable[Funding Source],"GoU Funded")/10^9</f>
        <v>0</v>
      </c>
      <c r="T132" s="190">
        <f>SUMIFS(MasterTable[Arrears + All Contractual Commitments (value next FY)],MasterTable[[Project Code and Name ]],PAProjects[[#This Row],[LINKING_CODE]],MasterTable[Funding Source],"External Financing")/10^9</f>
        <v>0</v>
      </c>
      <c r="U132" s="191">
        <f>PAProjects[[#This Row],[GOU 21/22]]+PAProjects[[#This Row],[DONOR 21/22]]</f>
        <v>0</v>
      </c>
      <c r="V132" s="192">
        <f>SUMIFS(MasterTable[FY1 (FY22-23)],MasterTable[[Project Code and Name ]],PAProjects[[#This Row],[LINKING_CODE]],MasterTable[Funding Source],"GoU Funded")/10^9</f>
        <v>0</v>
      </c>
      <c r="W132" s="193">
        <f>SUMIFS(MasterTable[FY1 (FY22-23)],MasterTable[[Project Code and Name ]],PAProjects[[#This Row],[LINKING_CODE]],MasterTable[Funding Source],"External Financing")/10^9</f>
        <v>0</v>
      </c>
      <c r="X132" s="191">
        <f>PAProjects[[#This Row],[GOU 22/23]]+PAProjects[[#This Row],[DONOR 22/23]]</f>
        <v>0</v>
      </c>
      <c r="Y132" s="193">
        <f>SUMIFS(MasterTable[FY2 (FY23-24)],MasterTable[[Project Code and Name ]],PAProjects[[#This Row],[LINKING_CODE]],MasterTable[Funding Source],"GoU Funded")/10^9</f>
        <v>0</v>
      </c>
      <c r="Z132" s="193">
        <f>SUMIFS(MasterTable[FY2 (FY23-24)],MasterTable[[Project Code and Name ]],PAProjects[[#This Row],[LINKING_CODE]],MasterTable[Funding Source],"External Financing")/10^9</f>
        <v>0</v>
      </c>
      <c r="AA132" s="175">
        <f t="shared" si="11"/>
        <v>0</v>
      </c>
      <c r="AB132" s="193">
        <f>SUMIFS(MasterTable[FY3 (FY24-25)],MasterTable[[Project Code and Name ]],PAProjects[[#This Row],[LINKING_CODE]],MasterTable[Funding Source],"GoU Funded")/10^9</f>
        <v>0</v>
      </c>
      <c r="AC132" s="193">
        <f>SUMIFS(MasterTable[FY3 (FY24-25)],MasterTable[[Project Code and Name ]],PAProjects[[#This Row],[LINKING_CODE]],MasterTable[Funding Source],"External Financing")/10^9</f>
        <v>0</v>
      </c>
      <c r="AD132" s="202">
        <f>PAProjects[[#This Row],[GOU 24/25]]+PAProjects[[#This Row],[DONOR 24/25]]</f>
        <v>0</v>
      </c>
    </row>
    <row r="133" spans="1:30" ht="15" customHeight="1" x14ac:dyDescent="0.25">
      <c r="A133" s="180" t="s">
        <v>130</v>
      </c>
      <c r="B133" s="203" t="s">
        <v>1495</v>
      </c>
      <c r="C133" s="203" t="e">
        <f ca="1">PAProjects[[#This Row],[LINKING_CODE]]=_xlfn.CONCAT(PAProjects[[#This Row],[Project Code]]," ",PAProjects[[#This Row],[Project Name]])</f>
        <v>#NAME?</v>
      </c>
      <c r="D133" s="203" t="str">
        <f>VLOOKUP(PAProjects[[#This Row],[LINKING_CODE]],MasterTable[[Project Code and Name ]],1,FALSE)</f>
        <v>1699 Development of Museums and Heritage Sites for Cultural Tourism (Phase II) -022</v>
      </c>
      <c r="E133" s="203" t="s">
        <v>538</v>
      </c>
      <c r="F133" s="175" t="s">
        <v>1229</v>
      </c>
      <c r="G133" s="203" t="s">
        <v>71</v>
      </c>
      <c r="H133" s="203" t="str">
        <f>VLOOKUP(I133,'Program Codes'!C:D,2,FALSE)</f>
        <v>17</v>
      </c>
      <c r="I133" s="203" t="s">
        <v>1267</v>
      </c>
      <c r="J133" s="203" t="s">
        <v>1266</v>
      </c>
      <c r="K133" s="175" t="s">
        <v>1494</v>
      </c>
      <c r="L133" s="203" t="s">
        <v>1508</v>
      </c>
      <c r="M133" s="188">
        <v>44378</v>
      </c>
      <c r="N133" s="188">
        <v>46203</v>
      </c>
      <c r="O133" s="174">
        <v>44.32</v>
      </c>
      <c r="P133" s="174"/>
      <c r="Q133" s="174">
        <f t="shared" si="8"/>
        <v>44.32</v>
      </c>
      <c r="R133" s="189">
        <v>0</v>
      </c>
      <c r="S133" s="190">
        <f>SUMIFS(MasterTable[Arrears + All Contractual Commitments (value next FY)],MasterTable[[Project Code and Name ]],PAProjects[[#This Row],[LINKING_CODE]],MasterTable[Funding Source],"GoU Funded")/10^9</f>
        <v>8.9</v>
      </c>
      <c r="T133" s="190">
        <f>SUMIFS(MasterTable[Arrears + All Contractual Commitments (value next FY)],MasterTable[[Project Code and Name ]],PAProjects[[#This Row],[LINKING_CODE]],MasterTable[Funding Source],"External Financing")/10^9</f>
        <v>0</v>
      </c>
      <c r="U133" s="202">
        <f>PAProjects[[#This Row],[GOU 21/22]]+PAProjects[[#This Row],[DONOR 21/22]]</f>
        <v>8.9</v>
      </c>
      <c r="V133" s="192">
        <f>SUMIFS(MasterTable[FY1 (FY22-23)],MasterTable[[Project Code and Name ]],PAProjects[[#This Row],[LINKING_CODE]],MasterTable[Funding Source],"GoU Funded")/10^9</f>
        <v>11.95</v>
      </c>
      <c r="W133" s="193">
        <f>SUMIFS(MasterTable[FY1 (FY22-23)],MasterTable[[Project Code and Name ]],PAProjects[[#This Row],[LINKING_CODE]],MasterTable[Funding Source],"External Financing")/10^9</f>
        <v>0</v>
      </c>
      <c r="X133" s="202">
        <f>PAProjects[[#This Row],[GOU 22/23]]+PAProjects[[#This Row],[DONOR 22/23]]</f>
        <v>11.95</v>
      </c>
      <c r="Y133" s="193">
        <f>SUMIFS(MasterTable[FY2 (FY23-24)],MasterTable[[Project Code and Name ]],PAProjects[[#This Row],[LINKING_CODE]],MasterTable[Funding Source],"GoU Funded")/10^9</f>
        <v>8.65</v>
      </c>
      <c r="Z133" s="193">
        <f>SUMIFS(MasterTable[FY2 (FY23-24)],MasterTable[[Project Code and Name ]],PAProjects[[#This Row],[LINKING_CODE]],MasterTable[Funding Source],"External Financing")/10^9</f>
        <v>0</v>
      </c>
      <c r="AA133" s="202">
        <f>SUM(Y133:Z133)</f>
        <v>8.65</v>
      </c>
      <c r="AB133" s="193">
        <f>SUMIFS(MasterTable[FY3 (FY24-25)],MasterTable[[Project Code and Name ]],PAProjects[[#This Row],[LINKING_CODE]],MasterTable[Funding Source],"GoU Funded")/10^9</f>
        <v>10.44</v>
      </c>
      <c r="AC133" s="193">
        <f>SUMIFS(MasterTable[FY3 (FY24-25)],MasterTable[[Project Code and Name ]],PAProjects[[#This Row],[LINKING_CODE]],MasterTable[Funding Source],"External Financing")/10^9</f>
        <v>0</v>
      </c>
      <c r="AD133" s="202">
        <f>PAProjects[[#This Row],[GOU 24/25]]+PAProjects[[#This Row],[DONOR 24/25]]</f>
        <v>10.44</v>
      </c>
    </row>
    <row r="134" spans="1:30" ht="15" customHeight="1" x14ac:dyDescent="0.25">
      <c r="A134" s="180" t="s">
        <v>131</v>
      </c>
      <c r="B134" s="203" t="s">
        <v>369</v>
      </c>
      <c r="C134" s="203" t="e">
        <f ca="1">PAProjects[[#This Row],[LINKING_CODE]]=_xlfn.CONCAT(PAProjects[[#This Row],[Project Code]]," ",PAProjects[[#This Row],[Project Name]])</f>
        <v>#NAME?</v>
      </c>
      <c r="D134" s="203" t="str">
        <f>VLOOKUP(PAProjects[[#This Row],[LINKING_CODE]],MasterTable[[Project Code and Name ]],1,FALSE)</f>
        <v>1700 Mt. Rwenzori Tourism Infrastructure Development Project Phase II</v>
      </c>
      <c r="E134" s="175" t="s">
        <v>538</v>
      </c>
      <c r="F134" s="175" t="s">
        <v>1229</v>
      </c>
      <c r="G134" s="203" t="s">
        <v>71</v>
      </c>
      <c r="H134" s="203" t="str">
        <f>VLOOKUP(I134,'Program Codes'!C:D,2,FALSE)</f>
        <v>17</v>
      </c>
      <c r="I134" s="203" t="s">
        <v>1267</v>
      </c>
      <c r="J134" s="203" t="s">
        <v>1268</v>
      </c>
      <c r="K134" s="175" t="s">
        <v>1269</v>
      </c>
      <c r="L134" s="203" t="s">
        <v>1508</v>
      </c>
      <c r="M134" s="188">
        <v>44378</v>
      </c>
      <c r="N134" s="188">
        <v>46203</v>
      </c>
      <c r="O134" s="174">
        <v>69.69</v>
      </c>
      <c r="P134" s="174"/>
      <c r="Q134" s="174">
        <f t="shared" ref="Q134:Q149" si="12">SUM(O134:P134)</f>
        <v>69.69</v>
      </c>
      <c r="R134" s="189">
        <v>0</v>
      </c>
      <c r="S134" s="190">
        <f>SUMIFS(MasterTable[Arrears + All Contractual Commitments (value next FY)],MasterTable[[Project Code and Name ]],PAProjects[[#This Row],[LINKING_CODE]],MasterTable[Funding Source],"GoU Funded")/10^9</f>
        <v>10.93</v>
      </c>
      <c r="T134" s="190">
        <f>SUMIFS(MasterTable[Arrears + All Contractual Commitments (value next FY)],MasterTable[[Project Code and Name ]],PAProjects[[#This Row],[LINKING_CODE]],MasterTable[Funding Source],"External Financing")/10^9</f>
        <v>0</v>
      </c>
      <c r="U134" s="202">
        <f>PAProjects[[#This Row],[GOU 21/22]]+PAProjects[[#This Row],[DONOR 21/22]]</f>
        <v>10.93</v>
      </c>
      <c r="V134" s="192">
        <f>SUMIFS(MasterTable[FY1 (FY22-23)],MasterTable[[Project Code and Name ]],PAProjects[[#This Row],[LINKING_CODE]],MasterTable[Funding Source],"GoU Funded")/10^9</f>
        <v>14.6</v>
      </c>
      <c r="W134" s="193">
        <f>SUMIFS(MasterTable[FY1 (FY22-23)],MasterTable[[Project Code and Name ]],PAProjects[[#This Row],[LINKING_CODE]],MasterTable[Funding Source],"External Financing")/10^9</f>
        <v>0</v>
      </c>
      <c r="X134" s="202">
        <f>PAProjects[[#This Row],[GOU 22/23]]+PAProjects[[#This Row],[DONOR 22/23]]</f>
        <v>14.6</v>
      </c>
      <c r="Y134" s="193">
        <f>SUMIFS(MasterTable[FY2 (FY23-24)],MasterTable[[Project Code and Name ]],PAProjects[[#This Row],[LINKING_CODE]],MasterTable[Funding Source],"GoU Funded")/10^9</f>
        <v>15.29</v>
      </c>
      <c r="Z134" s="193">
        <f>SUMIFS(MasterTable[FY2 (FY23-24)],MasterTable[[Project Code and Name ]],PAProjects[[#This Row],[LINKING_CODE]],MasterTable[Funding Source],"External Financing")/10^9</f>
        <v>0</v>
      </c>
      <c r="AA134" s="202">
        <f>SUM(Y134:Z134)</f>
        <v>15.29</v>
      </c>
      <c r="AB134" s="193">
        <f>SUMIFS(MasterTable[FY3 (FY24-25)],MasterTable[[Project Code and Name ]],PAProjects[[#This Row],[LINKING_CODE]],MasterTable[Funding Source],"GoU Funded")/10^9</f>
        <v>17.39</v>
      </c>
      <c r="AC134" s="193">
        <f>SUMIFS(MasterTable[FY3 (FY24-25)],MasterTable[[Project Code and Name ]],PAProjects[[#This Row],[LINKING_CODE]],MasterTable[Funding Source],"External Financing")/10^9</f>
        <v>0</v>
      </c>
      <c r="AD134" s="202">
        <f>PAProjects[[#This Row],[GOU 24/25]]+PAProjects[[#This Row],[DONOR 24/25]]</f>
        <v>17.39</v>
      </c>
    </row>
    <row r="135" spans="1:30" ht="15" customHeight="1" x14ac:dyDescent="0.25">
      <c r="A135" s="180" t="s">
        <v>132</v>
      </c>
      <c r="B135" s="203" t="s">
        <v>370</v>
      </c>
      <c r="C135" s="203" t="e">
        <f ca="1">PAProjects[[#This Row],[LINKING_CODE]]=_xlfn.CONCAT(PAProjects[[#This Row],[Project Code]]," ",PAProjects[[#This Row],[Project Name]])</f>
        <v>#NAME?</v>
      </c>
      <c r="D135" s="203" t="str">
        <f>VLOOKUP(PAProjects[[#This Row],[LINKING_CODE]],MasterTable[[Project Code and Name ]],1,FALSE)</f>
        <v>1701 Development of Source of the Nile Project (Phase II)</v>
      </c>
      <c r="E135" s="175" t="s">
        <v>538</v>
      </c>
      <c r="F135" s="175" t="s">
        <v>1229</v>
      </c>
      <c r="G135" s="203" t="s">
        <v>71</v>
      </c>
      <c r="H135" s="203" t="str">
        <f>VLOOKUP(I135,'Program Codes'!C:D,2,FALSE)</f>
        <v>17</v>
      </c>
      <c r="I135" s="203" t="s">
        <v>1267</v>
      </c>
      <c r="J135" s="203" t="s">
        <v>1270</v>
      </c>
      <c r="K135" s="175" t="s">
        <v>1271</v>
      </c>
      <c r="L135" s="203" t="s">
        <v>1508</v>
      </c>
      <c r="M135" s="188">
        <v>44378</v>
      </c>
      <c r="N135" s="188">
        <v>46203</v>
      </c>
      <c r="O135" s="174">
        <v>90.55</v>
      </c>
      <c r="P135" s="174"/>
      <c r="Q135" s="174">
        <f t="shared" si="12"/>
        <v>90.55</v>
      </c>
      <c r="R135" s="189">
        <v>0</v>
      </c>
      <c r="S135" s="190">
        <f>SUMIFS(MasterTable[Arrears + All Contractual Commitments (value next FY)],MasterTable[[Project Code and Name ]],PAProjects[[#This Row],[LINKING_CODE]],MasterTable[Funding Source],"GoU Funded")/10^9</f>
        <v>25.75</v>
      </c>
      <c r="T135" s="190">
        <f>SUMIFS(MasterTable[Arrears + All Contractual Commitments (value next FY)],MasterTable[[Project Code and Name ]],PAProjects[[#This Row],[LINKING_CODE]],MasterTable[Funding Source],"External Financing")/10^9</f>
        <v>0</v>
      </c>
      <c r="U135" s="202">
        <f>PAProjects[[#This Row],[GOU 21/22]]+PAProjects[[#This Row],[DONOR 21/22]]</f>
        <v>25.75</v>
      </c>
      <c r="V135" s="192">
        <f>SUMIFS(MasterTable[FY1 (FY22-23)],MasterTable[[Project Code and Name ]],PAProjects[[#This Row],[LINKING_CODE]],MasterTable[Funding Source],"GoU Funded")/10^9</f>
        <v>17</v>
      </c>
      <c r="W135" s="193">
        <f>SUMIFS(MasterTable[FY1 (FY22-23)],MasterTable[[Project Code and Name ]],PAProjects[[#This Row],[LINKING_CODE]],MasterTable[Funding Source],"External Financing")/10^9</f>
        <v>0</v>
      </c>
      <c r="X135" s="202">
        <f>PAProjects[[#This Row],[GOU 22/23]]+PAProjects[[#This Row],[DONOR 22/23]]</f>
        <v>17</v>
      </c>
      <c r="Y135" s="193">
        <f>SUMIFS(MasterTable[FY2 (FY23-24)],MasterTable[[Project Code and Name ]],PAProjects[[#This Row],[LINKING_CODE]],MasterTable[Funding Source],"GoU Funded")/10^9</f>
        <v>25.3</v>
      </c>
      <c r="Z135" s="193">
        <f>SUMIFS(MasterTable[FY2 (FY23-24)],MasterTable[[Project Code and Name ]],PAProjects[[#This Row],[LINKING_CODE]],MasterTable[Funding Source],"External Financing")/10^9</f>
        <v>0</v>
      </c>
      <c r="AA135" s="202">
        <f>SUM(Y135:Z135)</f>
        <v>25.3</v>
      </c>
      <c r="AB135" s="193">
        <f>SUMIFS(MasterTable[FY3 (FY24-25)],MasterTable[[Project Code and Name ]],PAProjects[[#This Row],[LINKING_CODE]],MasterTable[Funding Source],"GoU Funded")/10^9</f>
        <v>16.2</v>
      </c>
      <c r="AC135" s="193">
        <f>SUMIFS(MasterTable[FY3 (FY24-25)],MasterTable[[Project Code and Name ]],PAProjects[[#This Row],[LINKING_CODE]],MasterTable[Funding Source],"External Financing")/10^9</f>
        <v>0</v>
      </c>
      <c r="AD135" s="202">
        <f>PAProjects[[#This Row],[GOU 24/25]]+PAProjects[[#This Row],[DONOR 24/25]]</f>
        <v>16.2</v>
      </c>
    </row>
    <row r="136" spans="1:30" ht="15" customHeight="1" x14ac:dyDescent="0.25">
      <c r="A136" s="180" t="s">
        <v>133</v>
      </c>
      <c r="B136" s="203" t="s">
        <v>445</v>
      </c>
      <c r="C136" s="203" t="e">
        <f ca="1">PAProjects[[#This Row],[LINKING_CODE]]=_xlfn.CONCAT(PAProjects[[#This Row],[Project Code]]," ",PAProjects[[#This Row],[Project Name]])</f>
        <v>#NAME?</v>
      </c>
      <c r="D136" s="203" t="str">
        <f>VLOOKUP(PAProjects[[#This Row],[LINKING_CODE]],MasterTable[[Project Code and Name ]],1,FALSE)</f>
        <v>1703 Rehabilitation of District Roads Project</v>
      </c>
      <c r="E136" s="175" t="s">
        <v>515</v>
      </c>
      <c r="F136" s="175" t="s">
        <v>944</v>
      </c>
      <c r="G136" s="203" t="s">
        <v>99</v>
      </c>
      <c r="H136" s="203" t="str">
        <f>VLOOKUP(I136,'Program Codes'!C:D,2,FALSE)</f>
        <v>08</v>
      </c>
      <c r="I136" s="203" t="s">
        <v>1007</v>
      </c>
      <c r="J136" s="203" t="s">
        <v>1083</v>
      </c>
      <c r="K136" s="175" t="s">
        <v>1084</v>
      </c>
      <c r="L136" s="203" t="s">
        <v>1508</v>
      </c>
      <c r="M136" s="209">
        <v>44203</v>
      </c>
      <c r="N136" s="209" t="s">
        <v>1085</v>
      </c>
      <c r="O136" s="174">
        <v>572.36</v>
      </c>
      <c r="P136" s="174"/>
      <c r="Q136" s="174">
        <f t="shared" si="12"/>
        <v>572.36</v>
      </c>
      <c r="R136" s="189">
        <v>0</v>
      </c>
      <c r="S136" s="190">
        <f>SUMIFS(MasterTable[Arrears + All Contractual Commitments (value next FY)],MasterTable[[Project Code and Name ]],PAProjects[[#This Row],[LINKING_CODE]],MasterTable[Funding Source],"GoU Funded")/10^9</f>
        <v>80.92</v>
      </c>
      <c r="T136" s="190">
        <f>SUMIFS(MasterTable[Arrears + All Contractual Commitments (value next FY)],MasterTable[[Project Code and Name ]],PAProjects[[#This Row],[LINKING_CODE]],MasterTable[Funding Source],"External Financing")/10^9</f>
        <v>0</v>
      </c>
      <c r="U136" s="191">
        <f>PAProjects[[#This Row],[GOU 21/22]]+PAProjects[[#This Row],[DONOR 21/22]]</f>
        <v>80.92</v>
      </c>
      <c r="V136" s="192">
        <f>SUMIFS(MasterTable[FY1 (FY22-23)],MasterTable[[Project Code and Name ]],PAProjects[[#This Row],[LINKING_CODE]],MasterTable[Funding Source],"GoU Funded")/10^9</f>
        <v>147.34</v>
      </c>
      <c r="W136" s="193">
        <f>SUMIFS(MasterTable[FY1 (FY22-23)],MasterTable[[Project Code and Name ]],PAProjects[[#This Row],[LINKING_CODE]],MasterTable[Funding Source],"External Financing")/10^9</f>
        <v>0</v>
      </c>
      <c r="X136" s="191">
        <f>PAProjects[[#This Row],[GOU 22/23]]+PAProjects[[#This Row],[DONOR 22/23]]</f>
        <v>147.34</v>
      </c>
      <c r="Y136" s="193">
        <f>SUMIFS(MasterTable[FY2 (FY23-24)],MasterTable[[Project Code and Name ]],PAProjects[[#This Row],[LINKING_CODE]],MasterTable[Funding Source],"GoU Funded")/10^9</f>
        <v>114.99</v>
      </c>
      <c r="Z136" s="193">
        <f>SUMIFS(MasterTable[FY2 (FY23-24)],MasterTable[[Project Code and Name ]],PAProjects[[#This Row],[LINKING_CODE]],MasterTable[Funding Source],"External Financing")/10^9</f>
        <v>0</v>
      </c>
      <c r="AA136" s="175">
        <f>Y136+Z136</f>
        <v>114.99</v>
      </c>
      <c r="AB136" s="193">
        <f>SUMIFS(MasterTable[FY3 (FY24-25)],MasterTable[[Project Code and Name ]],PAProjects[[#This Row],[LINKING_CODE]],MasterTable[Funding Source],"GoU Funded")/10^9</f>
        <v>114.99</v>
      </c>
      <c r="AC136" s="193">
        <f>SUMIFS(MasterTable[FY3 (FY24-25)],MasterTable[[Project Code and Name ]],PAProjects[[#This Row],[LINKING_CODE]],MasterTable[Funding Source],"External Financing")/10^9</f>
        <v>0</v>
      </c>
      <c r="AD136" s="191">
        <f>PAProjects[[#This Row],[GOU 24/25]]+PAProjects[[#This Row],[DONOR 24/25]]</f>
        <v>114.99</v>
      </c>
    </row>
    <row r="137" spans="1:30" ht="15" customHeight="1" x14ac:dyDescent="0.25">
      <c r="A137" s="180" t="s">
        <v>134</v>
      </c>
      <c r="B137" s="175" t="s">
        <v>488</v>
      </c>
      <c r="C137" s="175" t="e">
        <f ca="1">PAProjects[[#This Row],[LINKING_CODE]]=_xlfn.CONCAT(PAProjects[[#This Row],[Project Code]]," ",PAProjects[[#This Row],[Project Name]])</f>
        <v>#NAME?</v>
      </c>
      <c r="D137" s="175" t="str">
        <f>VLOOKUP(PAProjects[[#This Row],[LINKING_CODE]],MasterTable[[Project Code and Name ]],1,FALSE)</f>
        <v>1704 Development of Local Government's Revenue Collection and Management Information System</v>
      </c>
      <c r="E137" s="175" t="s">
        <v>540</v>
      </c>
      <c r="F137" s="175" t="s">
        <v>931</v>
      </c>
      <c r="G137" s="175" t="s">
        <v>932</v>
      </c>
      <c r="H137" s="175" t="str">
        <f>VLOOKUP(I137,'Program Codes'!C:D,2,FALSE)</f>
        <v>13</v>
      </c>
      <c r="I137" s="175" t="s">
        <v>1113</v>
      </c>
      <c r="J137" s="203" t="s">
        <v>1234</v>
      </c>
      <c r="K137" s="175" t="s">
        <v>1235</v>
      </c>
      <c r="L137" s="203" t="s">
        <v>1508</v>
      </c>
      <c r="M137" s="188">
        <v>44378</v>
      </c>
      <c r="N137" s="182">
        <v>45838</v>
      </c>
      <c r="O137" s="174">
        <v>58.58</v>
      </c>
      <c r="P137" s="174"/>
      <c r="Q137" s="174">
        <f t="shared" si="12"/>
        <v>58.58</v>
      </c>
      <c r="R137" s="189">
        <v>0</v>
      </c>
      <c r="S137" s="190">
        <f>SUMIFS(MasterTable[Arrears + All Contractual Commitments (value next FY)],MasterTable[[Project Code and Name ]],PAProjects[[#This Row],[LINKING_CODE]],MasterTable[Funding Source],"GoU Funded")/10^9</f>
        <v>10.814693757000001</v>
      </c>
      <c r="T137" s="190">
        <f>SUMIFS(MasterTable[Arrears + All Contractual Commitments (value next FY)],MasterTable[[Project Code and Name ]],PAProjects[[#This Row],[LINKING_CODE]],MasterTable[Funding Source],"External Financing")/10^9</f>
        <v>0</v>
      </c>
      <c r="U137" s="202">
        <f>PAProjects[[#This Row],[GOU 21/22]]+PAProjects[[#This Row],[DONOR 21/22]]</f>
        <v>10.814693757000001</v>
      </c>
      <c r="V137" s="192">
        <f>SUMIFS(MasterTable[FY1 (FY22-23)],MasterTable[[Project Code and Name ]],PAProjects[[#This Row],[LINKING_CODE]],MasterTable[Funding Source],"GoU Funded")/10^9</f>
        <v>11.621873756999999</v>
      </c>
      <c r="W137" s="193">
        <f>SUMIFS(MasterTable[FY1 (FY22-23)],MasterTable[[Project Code and Name ]],PAProjects[[#This Row],[LINKING_CODE]],MasterTable[Funding Source],"External Financing")/10^9</f>
        <v>0</v>
      </c>
      <c r="X137" s="202">
        <f>PAProjects[[#This Row],[GOU 22/23]]+PAProjects[[#This Row],[DONOR 22/23]]</f>
        <v>11.621873756999999</v>
      </c>
      <c r="Y137" s="193">
        <f>SUMIFS(MasterTable[FY2 (FY23-24)],MasterTable[[Project Code and Name ]],PAProjects[[#This Row],[LINKING_CODE]],MasterTable[Funding Source],"GoU Funded")/10^9</f>
        <v>12.429053757</v>
      </c>
      <c r="Z137" s="193">
        <f>SUMIFS(MasterTable[FY2 (FY23-24)],MasterTable[[Project Code and Name ]],PAProjects[[#This Row],[LINKING_CODE]],MasterTable[Funding Source],"External Financing")/10^9</f>
        <v>0</v>
      </c>
      <c r="AA137" s="202">
        <f>SUM(Y137:Z137)</f>
        <v>12.429053757</v>
      </c>
      <c r="AB137" s="193">
        <f>SUMIFS(MasterTable[FY3 (FY24-25)],MasterTable[[Project Code and Name ]],PAProjects[[#This Row],[LINKING_CODE]],MasterTable[Funding Source],"GoU Funded")/10^9</f>
        <v>13.236233757000001</v>
      </c>
      <c r="AC137" s="193">
        <f>SUMIFS(MasterTable[FY3 (FY24-25)],MasterTable[[Project Code and Name ]],PAProjects[[#This Row],[LINKING_CODE]],MasterTable[Funding Source],"External Financing")/10^9</f>
        <v>0</v>
      </c>
      <c r="AD137" s="202">
        <f>PAProjects[[#This Row],[GOU 24/25]]+PAProjects[[#This Row],[DONOR 24/25]]</f>
        <v>13.236233757000001</v>
      </c>
    </row>
    <row r="138" spans="1:30" ht="15" customHeight="1" x14ac:dyDescent="0.25">
      <c r="A138" s="180" t="s">
        <v>135</v>
      </c>
      <c r="B138" s="203" t="s">
        <v>447</v>
      </c>
      <c r="C138" s="203" t="e">
        <f ca="1">PAProjects[[#This Row],[LINKING_CODE]]=_xlfn.CONCAT(PAProjects[[#This Row],[Project Code]]," ",PAProjects[[#This Row],[Project Name]])</f>
        <v>#NAME?</v>
      </c>
      <c r="D138" s="203" t="str">
        <f>VLOOKUP(PAProjects[[#This Row],[LINKING_CODE]],MasterTable[[Project Code and Name ]],1,FALSE)</f>
        <v>1705 Rehabilitaion and Upgrading of Urban Roads Project</v>
      </c>
      <c r="E138" s="175" t="s">
        <v>515</v>
      </c>
      <c r="F138" s="175" t="s">
        <v>944</v>
      </c>
      <c r="G138" s="203" t="s">
        <v>99</v>
      </c>
      <c r="H138" s="203" t="str">
        <f>VLOOKUP(I138,'Program Codes'!C:D,2,FALSE)</f>
        <v>08</v>
      </c>
      <c r="I138" s="203" t="s">
        <v>1007</v>
      </c>
      <c r="J138" s="203" t="s">
        <v>1086</v>
      </c>
      <c r="K138" s="175" t="s">
        <v>1087</v>
      </c>
      <c r="L138" s="203" t="s">
        <v>1508</v>
      </c>
      <c r="M138" s="209">
        <v>44203</v>
      </c>
      <c r="N138" s="209" t="s">
        <v>1085</v>
      </c>
      <c r="O138" s="174">
        <v>253.85984078105</v>
      </c>
      <c r="P138" s="174"/>
      <c r="Q138" s="174">
        <f t="shared" si="12"/>
        <v>253.85984078105</v>
      </c>
      <c r="R138" s="189">
        <v>0</v>
      </c>
      <c r="S138" s="190">
        <f>SUMIFS(MasterTable[Arrears + All Contractual Commitments (value next FY)],MasterTable[[Project Code and Name ]],PAProjects[[#This Row],[LINKING_CODE]],MasterTable[Funding Source],"GoU Funded")/10^9</f>
        <v>14.1</v>
      </c>
      <c r="T138" s="190">
        <f>SUMIFS(MasterTable[Arrears + All Contractual Commitments (value next FY)],MasterTable[[Project Code and Name ]],PAProjects[[#This Row],[LINKING_CODE]],MasterTable[Funding Source],"External Financing")/10^9</f>
        <v>0</v>
      </c>
      <c r="U138" s="191">
        <f>PAProjects[[#This Row],[GOU 21/22]]+PAProjects[[#This Row],[DONOR 21/22]]</f>
        <v>14.1</v>
      </c>
      <c r="V138" s="192">
        <f>SUMIFS(MasterTable[FY1 (FY22-23)],MasterTable[[Project Code and Name ]],PAProjects[[#This Row],[LINKING_CODE]],MasterTable[Funding Source],"GoU Funded")/10^9</f>
        <v>87.443936312000005</v>
      </c>
      <c r="W138" s="193">
        <f>SUMIFS(MasterTable[FY1 (FY22-23)],MasterTable[[Project Code and Name ]],PAProjects[[#This Row],[LINKING_CODE]],MasterTable[Funding Source],"External Financing")/10^9</f>
        <v>0</v>
      </c>
      <c r="X138" s="191">
        <f>PAProjects[[#This Row],[GOU 22/23]]+PAProjects[[#This Row],[DONOR 22/23]]</f>
        <v>87.443936312000005</v>
      </c>
      <c r="Y138" s="193">
        <f>SUMIFS(MasterTable[FY2 (FY23-24)],MasterTable[[Project Code and Name ]],PAProjects[[#This Row],[LINKING_CODE]],MasterTable[Funding Source],"GoU Funded")/10^9</f>
        <v>50.771968156</v>
      </c>
      <c r="Z138" s="193">
        <f>SUMIFS(MasterTable[FY2 (FY23-24)],MasterTable[[Project Code and Name ]],PAProjects[[#This Row],[LINKING_CODE]],MasterTable[Funding Source],"External Financing")/10^9</f>
        <v>0</v>
      </c>
      <c r="AA138" s="175">
        <f>Y138+Z138</f>
        <v>50.771968156</v>
      </c>
      <c r="AB138" s="193">
        <f>SUMIFS(MasterTable[FY3 (FY24-25)],MasterTable[[Project Code and Name ]],PAProjects[[#This Row],[LINKING_CODE]],MasterTable[Funding Source],"GoU Funded")/10^9</f>
        <v>50.771968156</v>
      </c>
      <c r="AC138" s="193">
        <f>SUMIFS(MasterTable[FY3 (FY24-25)],MasterTable[[Project Code and Name ]],PAProjects[[#This Row],[LINKING_CODE]],MasterTable[Funding Source],"External Financing")/10^9</f>
        <v>0</v>
      </c>
      <c r="AD138" s="191">
        <f>PAProjects[[#This Row],[GOU 24/25]]+PAProjects[[#This Row],[DONOR 24/25]]</f>
        <v>50.771968156</v>
      </c>
    </row>
    <row r="139" spans="1:30" ht="15" customHeight="1" x14ac:dyDescent="0.25">
      <c r="A139" s="180" t="s">
        <v>136</v>
      </c>
      <c r="B139" s="210" t="s">
        <v>1481</v>
      </c>
      <c r="C139" s="210" t="e">
        <f ca="1">PAProjects[[#This Row],[LINKING_CODE]]=_xlfn.CONCAT(PAProjects[[#This Row],[Project Code]]," ",PAProjects[[#This Row],[Project Name]])</f>
        <v>#NAME?</v>
      </c>
      <c r="D139" s="210" t="e">
        <f>VLOOKUP(PAProjects[[#This Row],[LINKING_CODE]],MasterTable[[Project Code and Name ]],1,FALSE)</f>
        <v>#N/A</v>
      </c>
      <c r="E139" s="210" t="s">
        <v>531</v>
      </c>
      <c r="F139" s="210" t="s">
        <v>940</v>
      </c>
      <c r="G139" s="210" t="s">
        <v>941</v>
      </c>
      <c r="H139" s="210" t="str">
        <f>VLOOKUP(I139,'Program Codes'!C:D,2,FALSE)</f>
        <v>12</v>
      </c>
      <c r="I139" s="210" t="s">
        <v>1107</v>
      </c>
      <c r="J139" s="210" t="s">
        <v>854</v>
      </c>
      <c r="K139" s="210" t="s">
        <v>553</v>
      </c>
      <c r="L139" s="210" t="s">
        <v>1509</v>
      </c>
      <c r="M139" s="211">
        <v>41821</v>
      </c>
      <c r="N139" s="212">
        <v>44742</v>
      </c>
      <c r="O139" s="213">
        <v>8.6999999999999993</v>
      </c>
      <c r="P139" s="214">
        <v>153.73599999999999</v>
      </c>
      <c r="Q139" s="215">
        <f t="shared" si="12"/>
        <v>162.43599999999998</v>
      </c>
      <c r="R139" s="215">
        <v>0</v>
      </c>
      <c r="S139" s="210">
        <v>0.74</v>
      </c>
      <c r="T139" s="210">
        <v>23.41</v>
      </c>
      <c r="U139" s="216">
        <f>PAProjects[[#This Row],[GOU 21/22]]+PAProjects[[#This Row],[DONOR 21/22]]</f>
        <v>24.15</v>
      </c>
      <c r="V139" s="210"/>
      <c r="W139" s="210"/>
      <c r="X139" s="216">
        <f>PAProjects[[#This Row],[GOU 22/23]]+PAProjects[[#This Row],[DONOR 22/23]]</f>
        <v>0</v>
      </c>
      <c r="Y139" s="210"/>
      <c r="Z139" s="210"/>
      <c r="AA139" s="210"/>
      <c r="AB139" s="210"/>
      <c r="AC139" s="210"/>
      <c r="AD139" s="216">
        <f>PAProjects[[#This Row],[GOU 24/25]]+PAProjects[[#This Row],[DONOR 24/25]]</f>
        <v>0</v>
      </c>
    </row>
    <row r="140" spans="1:30" ht="15" customHeight="1" x14ac:dyDescent="0.25">
      <c r="A140" s="180" t="s">
        <v>137</v>
      </c>
      <c r="B140" s="175" t="s">
        <v>1482</v>
      </c>
      <c r="C140" s="175" t="e">
        <f ca="1">PAProjects[[#This Row],[LINKING_CODE]]=_xlfn.CONCAT(PAProjects[[#This Row],[Project Code]]," ",PAProjects[[#This Row],[Project Name]])</f>
        <v>#NAME?</v>
      </c>
      <c r="D140" s="175" t="e">
        <f>VLOOKUP(PAProjects[[#This Row],[LINKING_CODE]],MasterTable[[Project Code and Name ]],1,FALSE)</f>
        <v>#N/A</v>
      </c>
      <c r="E140" s="175" t="s">
        <v>531</v>
      </c>
      <c r="F140" s="175" t="s">
        <v>940</v>
      </c>
      <c r="G140" s="175" t="s">
        <v>941</v>
      </c>
      <c r="H140" s="175" t="str">
        <f>VLOOKUP(I140,'Program Codes'!C:D,2,FALSE)</f>
        <v>12</v>
      </c>
      <c r="I140" s="175" t="s">
        <v>1107</v>
      </c>
      <c r="J140" s="175" t="s">
        <v>671</v>
      </c>
      <c r="K140" s="181" t="s">
        <v>672</v>
      </c>
      <c r="L140" s="175" t="s">
        <v>1509</v>
      </c>
      <c r="M140" s="188">
        <v>42186</v>
      </c>
      <c r="N140" s="182">
        <v>44742</v>
      </c>
      <c r="O140" s="183">
        <v>5.1820000000000004</v>
      </c>
      <c r="P140" s="184">
        <v>246</v>
      </c>
      <c r="Q140" s="174">
        <f t="shared" si="12"/>
        <v>251.18199999999999</v>
      </c>
      <c r="R140" s="174">
        <v>0</v>
      </c>
      <c r="S140" s="175">
        <v>1.25</v>
      </c>
      <c r="T140" s="175">
        <v>57.57</v>
      </c>
      <c r="U140" s="191">
        <f>PAProjects[[#This Row],[GOU 21/22]]+PAProjects[[#This Row],[DONOR 21/22]]</f>
        <v>58.82</v>
      </c>
      <c r="V140" s="175"/>
      <c r="W140" s="175"/>
      <c r="X140" s="191">
        <f>PAProjects[[#This Row],[GOU 22/23]]+PAProjects[[#This Row],[DONOR 22/23]]</f>
        <v>0</v>
      </c>
      <c r="Y140" s="175"/>
      <c r="Z140" s="175"/>
      <c r="AA140" s="175"/>
      <c r="AB140" s="175"/>
      <c r="AC140" s="175"/>
      <c r="AD140" s="191">
        <f>PAProjects[[#This Row],[GOU 24/25]]+PAProjects[[#This Row],[DONOR 24/25]]</f>
        <v>0</v>
      </c>
    </row>
    <row r="141" spans="1:30" ht="15" customHeight="1" x14ac:dyDescent="0.25">
      <c r="A141" s="180" t="s">
        <v>138</v>
      </c>
      <c r="B141" s="175" t="s">
        <v>1483</v>
      </c>
      <c r="C141" s="175" t="e">
        <f ca="1">PAProjects[[#This Row],[LINKING_CODE]]=_xlfn.CONCAT(PAProjects[[#This Row],[Project Code]]," ",PAProjects[[#This Row],[Project Name]])</f>
        <v>#NAME?</v>
      </c>
      <c r="D141" s="175" t="e">
        <f>VLOOKUP(PAProjects[[#This Row],[LINKING_CODE]],MasterTable[[Project Code and Name ]],1,FALSE)</f>
        <v>#N/A</v>
      </c>
      <c r="E141" s="175" t="s">
        <v>511</v>
      </c>
      <c r="F141" s="175" t="s">
        <v>890</v>
      </c>
      <c r="G141" s="175" t="s">
        <v>122</v>
      </c>
      <c r="H141" s="175" t="str">
        <f>VLOOKUP(I141,'Program Codes'!C:D,2,FALSE)</f>
        <v>13</v>
      </c>
      <c r="I141" s="175" t="s">
        <v>1113</v>
      </c>
      <c r="J141" s="175" t="s">
        <v>1112</v>
      </c>
      <c r="K141" s="181" t="s">
        <v>849</v>
      </c>
      <c r="L141" s="175" t="str">
        <f t="shared" ref="L141:L163" si="13">IF(ISERROR(SEARCH("Retooling",K141))=FALSE,"Retooling","")</f>
        <v>Retooling</v>
      </c>
      <c r="M141" s="182">
        <v>44013</v>
      </c>
      <c r="N141" s="182">
        <v>45838</v>
      </c>
      <c r="O141" s="174">
        <v>35</v>
      </c>
      <c r="P141" s="174"/>
      <c r="Q141" s="174">
        <f t="shared" si="12"/>
        <v>35</v>
      </c>
      <c r="R141" s="174">
        <v>0</v>
      </c>
      <c r="S141" s="202">
        <f t="shared" ref="S141:S148" si="14">O141/5</f>
        <v>7</v>
      </c>
      <c r="T141" s="175"/>
      <c r="U141" s="202">
        <f>PAProjects[[#This Row],[GOU 21/22]]+PAProjects[[#This Row],[DONOR 21/22]]</f>
        <v>7</v>
      </c>
      <c r="V141" s="202">
        <f t="shared" ref="V141:V148" si="15">S141</f>
        <v>7</v>
      </c>
      <c r="W141" s="175"/>
      <c r="X141" s="202">
        <f>PAProjects[[#This Row],[GOU 22/23]]+PAProjects[[#This Row],[DONOR 22/23]]</f>
        <v>7</v>
      </c>
      <c r="Y141" s="202">
        <f t="shared" ref="Y141:Y148" si="16">V141</f>
        <v>7</v>
      </c>
      <c r="Z141" s="175"/>
      <c r="AA141" s="202">
        <f t="shared" ref="AA141:AA146" si="17">Y141+Z141</f>
        <v>7</v>
      </c>
      <c r="AB141" s="202">
        <f t="shared" ref="AB141:AB148" si="18">Y141</f>
        <v>7</v>
      </c>
      <c r="AC141" s="175"/>
      <c r="AD141" s="202">
        <f>PAProjects[[#This Row],[GOU 24/25]]+PAProjects[[#This Row],[DONOR 24/25]]</f>
        <v>7</v>
      </c>
    </row>
    <row r="142" spans="1:30" ht="15" customHeight="1" x14ac:dyDescent="0.25">
      <c r="A142" s="180" t="s">
        <v>139</v>
      </c>
      <c r="B142" s="175" t="s">
        <v>1484</v>
      </c>
      <c r="C142" s="175" t="e">
        <f ca="1">PAProjects[[#This Row],[LINKING_CODE]]=_xlfn.CONCAT(PAProjects[[#This Row],[Project Code]]," ",PAProjects[[#This Row],[Project Name]])</f>
        <v>#NAME?</v>
      </c>
      <c r="D142" s="175" t="e">
        <f>VLOOKUP(PAProjects[[#This Row],[LINKING_CODE]],MasterTable[[Project Code and Name ]],1,FALSE)</f>
        <v>#N/A</v>
      </c>
      <c r="E142" s="175" t="s">
        <v>515</v>
      </c>
      <c r="F142" s="175" t="s">
        <v>944</v>
      </c>
      <c r="G142" s="175" t="s">
        <v>122</v>
      </c>
      <c r="H142" s="175" t="str">
        <f>VLOOKUP(I142,'Program Codes'!C:D,2,FALSE)</f>
        <v>13</v>
      </c>
      <c r="I142" s="175" t="s">
        <v>1113</v>
      </c>
      <c r="J142" s="175" t="s">
        <v>1112</v>
      </c>
      <c r="K142" s="181" t="s">
        <v>849</v>
      </c>
      <c r="L142" s="175" t="str">
        <f t="shared" si="13"/>
        <v>Retooling</v>
      </c>
      <c r="M142" s="182">
        <v>44013</v>
      </c>
      <c r="N142" s="182">
        <v>45838</v>
      </c>
      <c r="O142" s="174">
        <v>35</v>
      </c>
      <c r="P142" s="174"/>
      <c r="Q142" s="174">
        <f t="shared" si="12"/>
        <v>35</v>
      </c>
      <c r="R142" s="174">
        <v>0</v>
      </c>
      <c r="S142" s="202">
        <f t="shared" si="14"/>
        <v>7</v>
      </c>
      <c r="T142" s="175"/>
      <c r="U142" s="202">
        <f>PAProjects[[#This Row],[GOU 21/22]]+PAProjects[[#This Row],[DONOR 21/22]]</f>
        <v>7</v>
      </c>
      <c r="V142" s="202">
        <f t="shared" si="15"/>
        <v>7</v>
      </c>
      <c r="W142" s="175"/>
      <c r="X142" s="202">
        <f>PAProjects[[#This Row],[GOU 22/23]]+PAProjects[[#This Row],[DONOR 22/23]]</f>
        <v>7</v>
      </c>
      <c r="Y142" s="202">
        <f t="shared" si="16"/>
        <v>7</v>
      </c>
      <c r="Z142" s="175"/>
      <c r="AA142" s="202">
        <f t="shared" si="17"/>
        <v>7</v>
      </c>
      <c r="AB142" s="202">
        <f t="shared" si="18"/>
        <v>7</v>
      </c>
      <c r="AC142" s="175"/>
      <c r="AD142" s="202">
        <f>PAProjects[[#This Row],[GOU 24/25]]+PAProjects[[#This Row],[DONOR 24/25]]</f>
        <v>7</v>
      </c>
    </row>
    <row r="143" spans="1:30" ht="15" customHeight="1" x14ac:dyDescent="0.25">
      <c r="A143" s="180" t="s">
        <v>140</v>
      </c>
      <c r="B143" s="175" t="s">
        <v>1485</v>
      </c>
      <c r="C143" s="175" t="e">
        <f ca="1">PAProjects[[#This Row],[LINKING_CODE]]=_xlfn.CONCAT(PAProjects[[#This Row],[Project Code]]," ",PAProjects[[#This Row],[Project Name]])</f>
        <v>#NAME?</v>
      </c>
      <c r="D143" s="175" t="e">
        <f>VLOOKUP(PAProjects[[#This Row],[LINKING_CODE]],MasterTable[[Project Code and Name ]],1,FALSE)</f>
        <v>#N/A</v>
      </c>
      <c r="E143" s="175" t="s">
        <v>519</v>
      </c>
      <c r="F143" s="175" t="s">
        <v>960</v>
      </c>
      <c r="G143" s="175" t="s">
        <v>122</v>
      </c>
      <c r="H143" s="175" t="str">
        <f>VLOOKUP(I143,'Program Codes'!C:D,2,FALSE)</f>
        <v>13</v>
      </c>
      <c r="I143" s="175" t="s">
        <v>1113</v>
      </c>
      <c r="J143" s="175" t="s">
        <v>1112</v>
      </c>
      <c r="K143" s="181" t="s">
        <v>849</v>
      </c>
      <c r="L143" s="175" t="str">
        <f t="shared" si="13"/>
        <v>Retooling</v>
      </c>
      <c r="M143" s="182">
        <v>44013</v>
      </c>
      <c r="N143" s="182">
        <v>45838</v>
      </c>
      <c r="O143" s="174">
        <v>6.4</v>
      </c>
      <c r="P143" s="174"/>
      <c r="Q143" s="174">
        <f t="shared" si="12"/>
        <v>6.4</v>
      </c>
      <c r="R143" s="174">
        <v>0</v>
      </c>
      <c r="S143" s="202">
        <f t="shared" si="14"/>
        <v>1.28</v>
      </c>
      <c r="T143" s="175"/>
      <c r="U143" s="202">
        <f>PAProjects[[#This Row],[GOU 21/22]]+PAProjects[[#This Row],[DONOR 21/22]]</f>
        <v>1.28</v>
      </c>
      <c r="V143" s="202">
        <f t="shared" si="15"/>
        <v>1.28</v>
      </c>
      <c r="W143" s="175"/>
      <c r="X143" s="202">
        <f>PAProjects[[#This Row],[GOU 22/23]]+PAProjects[[#This Row],[DONOR 22/23]]</f>
        <v>1.28</v>
      </c>
      <c r="Y143" s="202">
        <f t="shared" si="16"/>
        <v>1.28</v>
      </c>
      <c r="Z143" s="175"/>
      <c r="AA143" s="202">
        <f t="shared" si="17"/>
        <v>1.28</v>
      </c>
      <c r="AB143" s="202">
        <f t="shared" si="18"/>
        <v>1.28</v>
      </c>
      <c r="AC143" s="175"/>
      <c r="AD143" s="202">
        <f>PAProjects[[#This Row],[GOU 24/25]]+PAProjects[[#This Row],[DONOR 24/25]]</f>
        <v>1.28</v>
      </c>
    </row>
    <row r="144" spans="1:30" ht="15" customHeight="1" x14ac:dyDescent="0.25">
      <c r="A144" s="180" t="s">
        <v>141</v>
      </c>
      <c r="B144" s="175" t="s">
        <v>1486</v>
      </c>
      <c r="C144" s="175" t="e">
        <f ca="1">PAProjects[[#This Row],[LINKING_CODE]]=_xlfn.CONCAT(PAProjects[[#This Row],[Project Code]]," ",PAProjects[[#This Row],[Project Name]])</f>
        <v>#NAME?</v>
      </c>
      <c r="D144" s="175" t="e">
        <f>VLOOKUP(PAProjects[[#This Row],[LINKING_CODE]],MasterTable[[Project Code and Name ]],1,FALSE)</f>
        <v>#N/A</v>
      </c>
      <c r="E144" s="175" t="s">
        <v>520</v>
      </c>
      <c r="F144" s="175" t="s">
        <v>975</v>
      </c>
      <c r="G144" s="175" t="s">
        <v>122</v>
      </c>
      <c r="H144" s="175" t="str">
        <f>VLOOKUP(I144,'Program Codes'!C:D,2,FALSE)</f>
        <v>13</v>
      </c>
      <c r="I144" s="175" t="s">
        <v>1113</v>
      </c>
      <c r="J144" s="175" t="s">
        <v>1112</v>
      </c>
      <c r="K144" s="181" t="s">
        <v>849</v>
      </c>
      <c r="L144" s="175" t="str">
        <f t="shared" si="13"/>
        <v>Retooling</v>
      </c>
      <c r="M144" s="182">
        <v>44013</v>
      </c>
      <c r="N144" s="182">
        <v>44742</v>
      </c>
      <c r="O144" s="174">
        <v>6.4</v>
      </c>
      <c r="P144" s="174"/>
      <c r="Q144" s="174">
        <f t="shared" si="12"/>
        <v>6.4</v>
      </c>
      <c r="R144" s="174">
        <v>0</v>
      </c>
      <c r="S144" s="202">
        <f t="shared" si="14"/>
        <v>1.28</v>
      </c>
      <c r="T144" s="175"/>
      <c r="U144" s="202">
        <f>PAProjects[[#This Row],[GOU 21/22]]+PAProjects[[#This Row],[DONOR 21/22]]</f>
        <v>1.28</v>
      </c>
      <c r="V144" s="202">
        <f t="shared" si="15"/>
        <v>1.28</v>
      </c>
      <c r="W144" s="175"/>
      <c r="X144" s="202">
        <f>PAProjects[[#This Row],[GOU 22/23]]+PAProjects[[#This Row],[DONOR 22/23]]</f>
        <v>1.28</v>
      </c>
      <c r="Y144" s="202">
        <f t="shared" si="16"/>
        <v>1.28</v>
      </c>
      <c r="Z144" s="175"/>
      <c r="AA144" s="202">
        <f t="shared" si="17"/>
        <v>1.28</v>
      </c>
      <c r="AB144" s="202">
        <f t="shared" si="18"/>
        <v>1.28</v>
      </c>
      <c r="AC144" s="175"/>
      <c r="AD144" s="202">
        <f>PAProjects[[#This Row],[GOU 24/25]]+PAProjects[[#This Row],[DONOR 24/25]]</f>
        <v>1.28</v>
      </c>
    </row>
    <row r="145" spans="1:30" ht="15" customHeight="1" x14ac:dyDescent="0.25">
      <c r="A145" s="180" t="s">
        <v>142</v>
      </c>
      <c r="B145" s="175" t="s">
        <v>1487</v>
      </c>
      <c r="C145" s="175" t="e">
        <f ca="1">PAProjects[[#This Row],[LINKING_CODE]]=_xlfn.CONCAT(PAProjects[[#This Row],[Project Code]]," ",PAProjects[[#This Row],[Project Name]])</f>
        <v>#NAME?</v>
      </c>
      <c r="D145" s="175" t="e">
        <f>VLOOKUP(PAProjects[[#This Row],[LINKING_CODE]],MasterTable[[Project Code and Name ]],1,FALSE)</f>
        <v>#N/A</v>
      </c>
      <c r="E145" s="175" t="s">
        <v>522</v>
      </c>
      <c r="F145" s="175" t="s">
        <v>1173</v>
      </c>
      <c r="G145" s="175" t="s">
        <v>122</v>
      </c>
      <c r="H145" s="175" t="str">
        <f>VLOOKUP(I145,'Program Codes'!C:D,2,FALSE)</f>
        <v>13</v>
      </c>
      <c r="I145" s="175" t="s">
        <v>1113</v>
      </c>
      <c r="J145" s="175" t="s">
        <v>1112</v>
      </c>
      <c r="K145" s="181" t="s">
        <v>849</v>
      </c>
      <c r="L145" s="175" t="str">
        <f t="shared" si="13"/>
        <v>Retooling</v>
      </c>
      <c r="M145" s="182">
        <v>44013</v>
      </c>
      <c r="N145" s="182">
        <v>44742</v>
      </c>
      <c r="O145" s="174">
        <v>600</v>
      </c>
      <c r="P145" s="174"/>
      <c r="Q145" s="174">
        <f t="shared" si="12"/>
        <v>600</v>
      </c>
      <c r="R145" s="174">
        <v>0</v>
      </c>
      <c r="S145" s="202">
        <f t="shared" si="14"/>
        <v>120</v>
      </c>
      <c r="T145" s="175"/>
      <c r="U145" s="202">
        <f>PAProjects[[#This Row],[GOU 21/22]]+PAProjects[[#This Row],[DONOR 21/22]]</f>
        <v>120</v>
      </c>
      <c r="V145" s="202">
        <f t="shared" si="15"/>
        <v>120</v>
      </c>
      <c r="W145" s="175"/>
      <c r="X145" s="202">
        <f>PAProjects[[#This Row],[GOU 22/23]]+PAProjects[[#This Row],[DONOR 22/23]]</f>
        <v>120</v>
      </c>
      <c r="Y145" s="202">
        <f t="shared" si="16"/>
        <v>120</v>
      </c>
      <c r="Z145" s="175"/>
      <c r="AA145" s="202">
        <f t="shared" si="17"/>
        <v>120</v>
      </c>
      <c r="AB145" s="202">
        <f t="shared" si="18"/>
        <v>120</v>
      </c>
      <c r="AC145" s="175"/>
      <c r="AD145" s="202">
        <f>PAProjects[[#This Row],[GOU 24/25]]+PAProjects[[#This Row],[DONOR 24/25]]</f>
        <v>120</v>
      </c>
    </row>
    <row r="146" spans="1:30" ht="15" customHeight="1" x14ac:dyDescent="0.25">
      <c r="A146" s="180" t="s">
        <v>143</v>
      </c>
      <c r="B146" s="175" t="s">
        <v>1488</v>
      </c>
      <c r="C146" s="175" t="e">
        <f ca="1">PAProjects[[#This Row],[LINKING_CODE]]=_xlfn.CONCAT(PAProjects[[#This Row],[Project Code]]," ",PAProjects[[#This Row],[Project Name]])</f>
        <v>#NAME?</v>
      </c>
      <c r="D146" s="175" t="e">
        <f>VLOOKUP(PAProjects[[#This Row],[LINKING_CODE]],MasterTable[[Project Code and Name ]],1,FALSE)</f>
        <v>#N/A</v>
      </c>
      <c r="E146" s="175" t="s">
        <v>524</v>
      </c>
      <c r="F146" s="175" t="s">
        <v>990</v>
      </c>
      <c r="G146" s="175" t="s">
        <v>122</v>
      </c>
      <c r="H146" s="175" t="str">
        <f>VLOOKUP(I146,'Program Codes'!C:D,2,FALSE)</f>
        <v>13</v>
      </c>
      <c r="I146" s="175" t="s">
        <v>1113</v>
      </c>
      <c r="J146" s="175" t="s">
        <v>1112</v>
      </c>
      <c r="K146" s="181" t="s">
        <v>849</v>
      </c>
      <c r="L146" s="175" t="str">
        <f t="shared" si="13"/>
        <v>Retooling</v>
      </c>
      <c r="M146" s="182">
        <v>44013</v>
      </c>
      <c r="N146" s="182">
        <v>44742</v>
      </c>
      <c r="O146" s="174">
        <v>6</v>
      </c>
      <c r="P146" s="174"/>
      <c r="Q146" s="174">
        <f t="shared" si="12"/>
        <v>6</v>
      </c>
      <c r="R146" s="174">
        <v>0</v>
      </c>
      <c r="S146" s="202">
        <f t="shared" si="14"/>
        <v>1.2</v>
      </c>
      <c r="T146" s="175"/>
      <c r="U146" s="202">
        <f>PAProjects[[#This Row],[GOU 21/22]]+PAProjects[[#This Row],[DONOR 21/22]]</f>
        <v>1.2</v>
      </c>
      <c r="V146" s="202">
        <f t="shared" si="15"/>
        <v>1.2</v>
      </c>
      <c r="W146" s="175"/>
      <c r="X146" s="202">
        <f>PAProjects[[#This Row],[GOU 22/23]]+PAProjects[[#This Row],[DONOR 22/23]]</f>
        <v>1.2</v>
      </c>
      <c r="Y146" s="202">
        <f t="shared" si="16"/>
        <v>1.2</v>
      </c>
      <c r="Z146" s="175"/>
      <c r="AA146" s="202">
        <f t="shared" si="17"/>
        <v>1.2</v>
      </c>
      <c r="AB146" s="202">
        <f t="shared" si="18"/>
        <v>1.2</v>
      </c>
      <c r="AC146" s="175"/>
      <c r="AD146" s="202">
        <f>PAProjects[[#This Row],[GOU 24/25]]+PAProjects[[#This Row],[DONOR 24/25]]</f>
        <v>1.2</v>
      </c>
    </row>
    <row r="147" spans="1:30" ht="15" customHeight="1" x14ac:dyDescent="0.25">
      <c r="A147" s="180" t="s">
        <v>144</v>
      </c>
      <c r="B147" s="175" t="s">
        <v>1489</v>
      </c>
      <c r="C147" s="175" t="e">
        <f ca="1">PAProjects[[#This Row],[LINKING_CODE]]=_xlfn.CONCAT(PAProjects[[#This Row],[Project Code]]," ",PAProjects[[#This Row],[Project Name]])</f>
        <v>#NAME?</v>
      </c>
      <c r="D147" s="175" t="e">
        <f>VLOOKUP(PAProjects[[#This Row],[LINKING_CODE]],MasterTable[[Project Code and Name ]],1,FALSE)</f>
        <v>#N/A</v>
      </c>
      <c r="E147" s="175" t="s">
        <v>529</v>
      </c>
      <c r="F147" s="175" t="s">
        <v>934</v>
      </c>
      <c r="G147" s="175" t="s">
        <v>122</v>
      </c>
      <c r="H147" s="175" t="str">
        <f>VLOOKUP(I147,'Program Codes'!C:D,2,FALSE)</f>
        <v>13</v>
      </c>
      <c r="I147" s="175" t="s">
        <v>1113</v>
      </c>
      <c r="J147" s="175" t="s">
        <v>1112</v>
      </c>
      <c r="K147" s="181" t="s">
        <v>849</v>
      </c>
      <c r="L147" s="175" t="str">
        <f t="shared" si="13"/>
        <v>Retooling</v>
      </c>
      <c r="M147" s="182">
        <v>44013</v>
      </c>
      <c r="N147" s="182">
        <v>44742</v>
      </c>
      <c r="O147" s="174">
        <v>600</v>
      </c>
      <c r="P147" s="174"/>
      <c r="Q147" s="174">
        <f t="shared" si="12"/>
        <v>600</v>
      </c>
      <c r="R147" s="174">
        <v>0</v>
      </c>
      <c r="S147" s="202">
        <f t="shared" si="14"/>
        <v>120</v>
      </c>
      <c r="T147" s="175"/>
      <c r="U147" s="202">
        <f>PAProjects[[#This Row],[GOU 21/22]]+PAProjects[[#This Row],[DONOR 21/22]]</f>
        <v>120</v>
      </c>
      <c r="V147" s="202">
        <f t="shared" si="15"/>
        <v>120</v>
      </c>
      <c r="W147" s="175"/>
      <c r="X147" s="202">
        <f>PAProjects[[#This Row],[GOU 22/23]]+PAProjects[[#This Row],[DONOR 22/23]]</f>
        <v>120</v>
      </c>
      <c r="Y147" s="202">
        <f t="shared" si="16"/>
        <v>120</v>
      </c>
      <c r="Z147" s="175"/>
      <c r="AA147" s="202">
        <f>SUM(Y147:Z147)</f>
        <v>120</v>
      </c>
      <c r="AB147" s="202">
        <f t="shared" si="18"/>
        <v>120</v>
      </c>
      <c r="AC147" s="175"/>
      <c r="AD147" s="202">
        <f>PAProjects[[#This Row],[GOU 24/25]]+PAProjects[[#This Row],[DONOR 24/25]]</f>
        <v>120</v>
      </c>
    </row>
    <row r="148" spans="1:30" ht="15" customHeight="1" x14ac:dyDescent="0.25">
      <c r="A148" s="180" t="s">
        <v>145</v>
      </c>
      <c r="B148" s="175" t="s">
        <v>1490</v>
      </c>
      <c r="C148" s="175" t="e">
        <f ca="1">PAProjects[[#This Row],[LINKING_CODE]]=_xlfn.CONCAT(PAProjects[[#This Row],[Project Code]]," ",PAProjects[[#This Row],[Project Name]])</f>
        <v>#NAME?</v>
      </c>
      <c r="D148" s="175" t="e">
        <f>VLOOKUP(PAProjects[[#This Row],[LINKING_CODE]],MasterTable[[Project Code and Name ]],1,FALSE)</f>
        <v>#N/A</v>
      </c>
      <c r="E148" s="175" t="s">
        <v>531</v>
      </c>
      <c r="F148" s="175" t="s">
        <v>940</v>
      </c>
      <c r="G148" s="175" t="s">
        <v>122</v>
      </c>
      <c r="H148" s="175" t="str">
        <f>VLOOKUP(I148,'Program Codes'!C:D,2,FALSE)</f>
        <v>13</v>
      </c>
      <c r="I148" s="175" t="s">
        <v>1113</v>
      </c>
      <c r="J148" s="175" t="s">
        <v>1112</v>
      </c>
      <c r="K148" s="181" t="s">
        <v>849</v>
      </c>
      <c r="L148" s="175" t="str">
        <f t="shared" si="13"/>
        <v>Retooling</v>
      </c>
      <c r="M148" s="188">
        <v>44013</v>
      </c>
      <c r="N148" s="182">
        <v>44742</v>
      </c>
      <c r="O148" s="174">
        <v>6.4</v>
      </c>
      <c r="P148" s="174"/>
      <c r="Q148" s="174">
        <f t="shared" si="12"/>
        <v>6.4</v>
      </c>
      <c r="R148" s="174">
        <v>0</v>
      </c>
      <c r="S148" s="202">
        <f t="shared" si="14"/>
        <v>1.28</v>
      </c>
      <c r="T148" s="175"/>
      <c r="U148" s="202">
        <f>PAProjects[[#This Row],[GOU 21/22]]+PAProjects[[#This Row],[DONOR 21/22]]</f>
        <v>1.28</v>
      </c>
      <c r="V148" s="202">
        <f t="shared" si="15"/>
        <v>1.28</v>
      </c>
      <c r="W148" s="175"/>
      <c r="X148" s="202">
        <f>PAProjects[[#This Row],[GOU 22/23]]+PAProjects[[#This Row],[DONOR 22/23]]</f>
        <v>1.28</v>
      </c>
      <c r="Y148" s="202">
        <f t="shared" si="16"/>
        <v>1.28</v>
      </c>
      <c r="Z148" s="175"/>
      <c r="AA148" s="202">
        <f>SUM(Y148:Z148)</f>
        <v>1.28</v>
      </c>
      <c r="AB148" s="202">
        <f t="shared" si="18"/>
        <v>1.28</v>
      </c>
      <c r="AC148" s="175"/>
      <c r="AD148" s="202">
        <f>PAProjects[[#This Row],[GOU 24/25]]+PAProjects[[#This Row],[DONOR 24/25]]</f>
        <v>1.28</v>
      </c>
    </row>
    <row r="149" spans="1:30" ht="15" customHeight="1" x14ac:dyDescent="0.25">
      <c r="A149" s="180" t="s">
        <v>146</v>
      </c>
      <c r="B149" s="175" t="s">
        <v>1298</v>
      </c>
      <c r="C149" s="175" t="e">
        <f ca="1">PAProjects[[#This Row],[LINKING_CODE]]=_xlfn.CONCAT(PAProjects[[#This Row],[Project Code]]," ",PAProjects[[#This Row],[Project Name]])</f>
        <v>#NAME?</v>
      </c>
      <c r="D149" s="175" t="e">
        <f>VLOOKUP(PAProjects[[#This Row],[LINKING_CODE]],MasterTable[[Project Code and Name ]],1,FALSE)</f>
        <v>#N/A</v>
      </c>
      <c r="E149" s="175" t="s">
        <v>511</v>
      </c>
      <c r="F149" s="175" t="s">
        <v>890</v>
      </c>
      <c r="G149" s="175" t="s">
        <v>891</v>
      </c>
      <c r="H149" s="175" t="str">
        <f>VLOOKUP(I149,'Program Codes'!C:D,2,FALSE)</f>
        <v>01</v>
      </c>
      <c r="I149" s="175" t="s">
        <v>928</v>
      </c>
      <c r="J149" s="175" t="s">
        <v>775</v>
      </c>
      <c r="K149" s="175" t="s">
        <v>915</v>
      </c>
      <c r="L149" s="175" t="s">
        <v>1509</v>
      </c>
      <c r="M149" s="182">
        <v>43282</v>
      </c>
      <c r="N149" s="182">
        <v>45107</v>
      </c>
      <c r="O149" s="185">
        <v>61.308999999999997</v>
      </c>
      <c r="P149" s="185">
        <v>88.427000000000007</v>
      </c>
      <c r="Q149" s="174">
        <f t="shared" si="12"/>
        <v>149.73599999999999</v>
      </c>
      <c r="R149" s="174">
        <v>0</v>
      </c>
      <c r="S149" s="175"/>
      <c r="T149" s="175"/>
      <c r="U149" s="191">
        <f>PAProjects[[#This Row],[GOU 21/22]]+PAProjects[[#This Row],[DONOR 21/22]]</f>
        <v>0</v>
      </c>
      <c r="V149" s="175"/>
      <c r="W149" s="175"/>
      <c r="X149" s="191">
        <f>PAProjects[[#This Row],[GOU 22/23]]+PAProjects[[#This Row],[DONOR 22/23]]</f>
        <v>0</v>
      </c>
      <c r="Y149" s="175"/>
      <c r="Z149" s="175"/>
      <c r="AA149" s="175"/>
      <c r="AB149" s="175"/>
      <c r="AC149" s="175"/>
      <c r="AD149" s="191">
        <f>PAProjects[[#This Row],[GOU 24/25]]+PAProjects[[#This Row],[DONOR 24/25]]</f>
        <v>0</v>
      </c>
    </row>
    <row r="150" spans="1:30" ht="15" customHeight="1" x14ac:dyDescent="0.25">
      <c r="A150" s="180" t="s">
        <v>147</v>
      </c>
      <c r="B150" s="175" t="s">
        <v>1924</v>
      </c>
      <c r="C150" s="175" t="e">
        <f ca="1">PAProjects[[#This Row],[LINKING_CODE]]=_xlfn.CONCAT(PAProjects[[#This Row],[Project Code]]," ",PAProjects[[#This Row],[Project Name]])</f>
        <v>#NAME?</v>
      </c>
      <c r="D150" s="175" t="e">
        <f>VLOOKUP(PAProjects[[#This Row],[LINKING_CODE]],MasterTable[[Project Code and Name ]],1,FALSE)</f>
        <v>#N/A</v>
      </c>
      <c r="E150" s="175" t="s">
        <v>511</v>
      </c>
      <c r="F150" s="175" t="s">
        <v>890</v>
      </c>
      <c r="G150" s="175" t="s">
        <v>891</v>
      </c>
      <c r="H150" s="175" t="str">
        <f>VLOOKUP(I150,'Program Codes'!C:D,2,FALSE)</f>
        <v>01</v>
      </c>
      <c r="I150" s="175" t="s">
        <v>928</v>
      </c>
      <c r="J150" s="203" t="s">
        <v>1925</v>
      </c>
      <c r="K150" s="175" t="s">
        <v>926</v>
      </c>
      <c r="L150" s="203" t="s">
        <v>1508</v>
      </c>
      <c r="M150" s="182">
        <v>44378</v>
      </c>
      <c r="N150" s="182">
        <v>46203</v>
      </c>
      <c r="O150" s="174">
        <v>6</v>
      </c>
      <c r="P150" s="174"/>
      <c r="Q150" s="174">
        <f>SUM(O150:O150)</f>
        <v>6</v>
      </c>
      <c r="R150" s="174">
        <v>0</v>
      </c>
      <c r="S150" s="175">
        <v>1.2</v>
      </c>
      <c r="T150" s="175"/>
      <c r="U150" s="191">
        <f>PAProjects[[#This Row],[GOU 21/22]]+PAProjects[[#This Row],[DONOR 21/22]]</f>
        <v>1.2</v>
      </c>
      <c r="V150" s="175">
        <v>1.2</v>
      </c>
      <c r="W150" s="175"/>
      <c r="X150" s="191">
        <f>PAProjects[[#This Row],[GOU 22/23]]+PAProjects[[#This Row],[DONOR 22/23]]</f>
        <v>1.2</v>
      </c>
      <c r="Y150" s="175">
        <v>1.2</v>
      </c>
      <c r="Z150" s="175"/>
      <c r="AA150" s="175">
        <f t="shared" ref="AA150:AA162" si="19">Y150+Z150</f>
        <v>1.2</v>
      </c>
      <c r="AB150" s="175">
        <v>1.2</v>
      </c>
      <c r="AC150" s="175"/>
      <c r="AD150" s="191">
        <f>PAProjects[[#This Row],[GOU 24/25]]+PAProjects[[#This Row],[DONOR 24/25]]</f>
        <v>1.2</v>
      </c>
    </row>
    <row r="151" spans="1:30" ht="15" customHeight="1" x14ac:dyDescent="0.25">
      <c r="A151" s="180" t="s">
        <v>148</v>
      </c>
      <c r="B151" s="175" t="s">
        <v>1300</v>
      </c>
      <c r="C151" s="175" t="e">
        <f ca="1">PAProjects[[#This Row],[LINKING_CODE]]=_xlfn.CONCAT(PAProjects[[#This Row],[Project Code]]," ",PAProjects[[#This Row],[Project Name]])</f>
        <v>#NAME?</v>
      </c>
      <c r="D151" s="175" t="e">
        <f>VLOOKUP(PAProjects[[#This Row],[LINKING_CODE]],MasterTable[[Project Code and Name ]],1,FALSE)</f>
        <v>#N/A</v>
      </c>
      <c r="E151" s="175" t="s">
        <v>520</v>
      </c>
      <c r="F151" s="175" t="s">
        <v>975</v>
      </c>
      <c r="G151" s="175" t="s">
        <v>163</v>
      </c>
      <c r="H151" s="175" t="str">
        <f>VLOOKUP(I151,'Program Codes'!C:D,2,FALSE)</f>
        <v>06</v>
      </c>
      <c r="I151" s="175" t="s">
        <v>962</v>
      </c>
      <c r="J151" s="175" t="s">
        <v>331</v>
      </c>
      <c r="K151" s="175" t="s">
        <v>716</v>
      </c>
      <c r="L151" s="175" t="s">
        <v>1509</v>
      </c>
      <c r="M151" s="182">
        <v>41456</v>
      </c>
      <c r="N151" s="182">
        <v>44742</v>
      </c>
      <c r="O151" s="183">
        <v>12.513</v>
      </c>
      <c r="P151" s="184">
        <v>13.627000000000001</v>
      </c>
      <c r="Q151" s="174">
        <f t="shared" ref="Q151:Q182" si="20">SUM(O151:P151)</f>
        <v>26.14</v>
      </c>
      <c r="R151" s="174">
        <v>0</v>
      </c>
      <c r="S151" s="175">
        <v>0.6</v>
      </c>
      <c r="T151" s="175"/>
      <c r="U151" s="191">
        <f>PAProjects[[#This Row],[GOU 21/22]]+PAProjects[[#This Row],[DONOR 21/22]]</f>
        <v>0.6</v>
      </c>
      <c r="V151" s="175"/>
      <c r="W151" s="175"/>
      <c r="X151" s="191">
        <f>PAProjects[[#This Row],[GOU 22/23]]+PAProjects[[#This Row],[DONOR 22/23]]</f>
        <v>0</v>
      </c>
      <c r="Y151" s="175"/>
      <c r="Z151" s="175"/>
      <c r="AA151" s="175">
        <f t="shared" si="19"/>
        <v>0</v>
      </c>
      <c r="AB151" s="175"/>
      <c r="AC151" s="175"/>
      <c r="AD151" s="191">
        <f>PAProjects[[#This Row],[GOU 24/25]]+PAProjects[[#This Row],[DONOR 24/25]]</f>
        <v>0</v>
      </c>
    </row>
    <row r="152" spans="1:30" ht="15" customHeight="1" x14ac:dyDescent="0.25">
      <c r="A152" s="180" t="s">
        <v>149</v>
      </c>
      <c r="B152" s="175" t="s">
        <v>1301</v>
      </c>
      <c r="C152" s="175" t="e">
        <f ca="1">PAProjects[[#This Row],[LINKING_CODE]]=_xlfn.CONCAT(PAProjects[[#This Row],[Project Code]]," ",PAProjects[[#This Row],[Project Name]])</f>
        <v>#NAME?</v>
      </c>
      <c r="D152" s="175" t="e">
        <f>VLOOKUP(PAProjects[[#This Row],[LINKING_CODE]],MasterTable[[Project Code and Name ]],1,FALSE)</f>
        <v>#N/A</v>
      </c>
      <c r="E152" s="175" t="s">
        <v>520</v>
      </c>
      <c r="F152" s="175" t="s">
        <v>975</v>
      </c>
      <c r="G152" s="175" t="s">
        <v>164</v>
      </c>
      <c r="H152" s="175" t="str">
        <f>VLOOKUP(I152,'Program Codes'!C:D,2,FALSE)</f>
        <v>06</v>
      </c>
      <c r="I152" s="175" t="s">
        <v>962</v>
      </c>
      <c r="J152" s="175" t="s">
        <v>331</v>
      </c>
      <c r="K152" s="175" t="s">
        <v>717</v>
      </c>
      <c r="L152" s="175" t="s">
        <v>1509</v>
      </c>
      <c r="M152" s="182">
        <v>41457</v>
      </c>
      <c r="N152" s="182">
        <v>44742</v>
      </c>
      <c r="O152" s="183">
        <v>5.8</v>
      </c>
      <c r="P152" s="174"/>
      <c r="Q152" s="174">
        <f t="shared" si="20"/>
        <v>5.8</v>
      </c>
      <c r="R152" s="174">
        <v>0</v>
      </c>
      <c r="S152" s="175">
        <v>0.57999999999999996</v>
      </c>
      <c r="T152" s="175"/>
      <c r="U152" s="191">
        <f>PAProjects[[#This Row],[GOU 21/22]]+PAProjects[[#This Row],[DONOR 21/22]]</f>
        <v>0.57999999999999996</v>
      </c>
      <c r="V152" s="175"/>
      <c r="W152" s="175"/>
      <c r="X152" s="191">
        <f>PAProjects[[#This Row],[GOU 22/23]]+PAProjects[[#This Row],[DONOR 22/23]]</f>
        <v>0</v>
      </c>
      <c r="Y152" s="175"/>
      <c r="Z152" s="175"/>
      <c r="AA152" s="175">
        <f t="shared" si="19"/>
        <v>0</v>
      </c>
      <c r="AB152" s="175"/>
      <c r="AC152" s="175"/>
      <c r="AD152" s="191">
        <f>PAProjects[[#This Row],[GOU 24/25]]+PAProjects[[#This Row],[DONOR 24/25]]</f>
        <v>0</v>
      </c>
    </row>
    <row r="153" spans="1:30" ht="15" customHeight="1" x14ac:dyDescent="0.25">
      <c r="A153" s="180" t="s">
        <v>150</v>
      </c>
      <c r="B153" s="175" t="s">
        <v>1302</v>
      </c>
      <c r="C153" s="175" t="e">
        <f ca="1">PAProjects[[#This Row],[LINKING_CODE]]=_xlfn.CONCAT(PAProjects[[#This Row],[Project Code]]," ",PAProjects[[#This Row],[Project Name]])</f>
        <v>#NAME?</v>
      </c>
      <c r="D153" s="175" t="e">
        <f>VLOOKUP(PAProjects[[#This Row],[LINKING_CODE]],MasterTable[[Project Code and Name ]],1,FALSE)</f>
        <v>#N/A</v>
      </c>
      <c r="E153" s="175" t="s">
        <v>520</v>
      </c>
      <c r="F153" s="175" t="s">
        <v>975</v>
      </c>
      <c r="G153" s="175" t="s">
        <v>165</v>
      </c>
      <c r="H153" s="175" t="str">
        <f>VLOOKUP(I153,'Program Codes'!C:D,2,FALSE)</f>
        <v>06</v>
      </c>
      <c r="I153" s="175" t="s">
        <v>962</v>
      </c>
      <c r="J153" s="175" t="s">
        <v>331</v>
      </c>
      <c r="K153" s="175" t="s">
        <v>718</v>
      </c>
      <c r="L153" s="175" t="s">
        <v>1509</v>
      </c>
      <c r="M153" s="182">
        <v>41456</v>
      </c>
      <c r="N153" s="182">
        <v>44742</v>
      </c>
      <c r="O153" s="183">
        <v>16.149999999999999</v>
      </c>
      <c r="P153" s="174"/>
      <c r="Q153" s="174">
        <f t="shared" si="20"/>
        <v>16.149999999999999</v>
      </c>
      <c r="R153" s="174">
        <v>0</v>
      </c>
      <c r="S153" s="175">
        <v>1.7</v>
      </c>
      <c r="T153" s="175"/>
      <c r="U153" s="191">
        <f>PAProjects[[#This Row],[GOU 21/22]]+PAProjects[[#This Row],[DONOR 21/22]]</f>
        <v>1.7</v>
      </c>
      <c r="V153" s="175"/>
      <c r="W153" s="175"/>
      <c r="X153" s="191">
        <f>PAProjects[[#This Row],[GOU 22/23]]+PAProjects[[#This Row],[DONOR 22/23]]</f>
        <v>0</v>
      </c>
      <c r="Y153" s="175"/>
      <c r="Z153" s="175"/>
      <c r="AA153" s="175">
        <f t="shared" si="19"/>
        <v>0</v>
      </c>
      <c r="AB153" s="175"/>
      <c r="AC153" s="175"/>
      <c r="AD153" s="191">
        <f>PAProjects[[#This Row],[GOU 24/25]]+PAProjects[[#This Row],[DONOR 24/25]]</f>
        <v>0</v>
      </c>
    </row>
    <row r="154" spans="1:30" ht="15" customHeight="1" x14ac:dyDescent="0.25">
      <c r="A154" s="180" t="s">
        <v>151</v>
      </c>
      <c r="B154" s="175" t="s">
        <v>1303</v>
      </c>
      <c r="C154" s="175" t="e">
        <f ca="1">PAProjects[[#This Row],[LINKING_CODE]]=_xlfn.CONCAT(PAProjects[[#This Row],[Project Code]]," ",PAProjects[[#This Row],[Project Name]])</f>
        <v>#NAME?</v>
      </c>
      <c r="D154" s="175" t="e">
        <f>VLOOKUP(PAProjects[[#This Row],[LINKING_CODE]],MasterTable[[Project Code and Name ]],1,FALSE)</f>
        <v>#N/A</v>
      </c>
      <c r="E154" s="175" t="s">
        <v>520</v>
      </c>
      <c r="F154" s="175" t="s">
        <v>975</v>
      </c>
      <c r="G154" s="175" t="s">
        <v>167</v>
      </c>
      <c r="H154" s="175" t="str">
        <f>VLOOKUP(I154,'Program Codes'!C:D,2,FALSE)</f>
        <v>06</v>
      </c>
      <c r="I154" s="175" t="s">
        <v>962</v>
      </c>
      <c r="J154" s="175" t="s">
        <v>331</v>
      </c>
      <c r="K154" s="175" t="s">
        <v>719</v>
      </c>
      <c r="L154" s="175" t="s">
        <v>1509</v>
      </c>
      <c r="M154" s="182">
        <v>40360</v>
      </c>
      <c r="N154" s="182">
        <v>44742</v>
      </c>
      <c r="O154" s="183">
        <v>6.3659999999999997</v>
      </c>
      <c r="P154" s="174"/>
      <c r="Q154" s="174">
        <f t="shared" si="20"/>
        <v>6.3659999999999997</v>
      </c>
      <c r="R154" s="174">
        <v>0</v>
      </c>
      <c r="S154" s="175">
        <v>1.7</v>
      </c>
      <c r="T154" s="175"/>
      <c r="U154" s="191">
        <f>PAProjects[[#This Row],[GOU 21/22]]+PAProjects[[#This Row],[DONOR 21/22]]</f>
        <v>1.7</v>
      </c>
      <c r="V154" s="175"/>
      <c r="W154" s="175"/>
      <c r="X154" s="191">
        <f>PAProjects[[#This Row],[GOU 22/23]]+PAProjects[[#This Row],[DONOR 22/23]]</f>
        <v>0</v>
      </c>
      <c r="Y154" s="175"/>
      <c r="Z154" s="175"/>
      <c r="AA154" s="175">
        <f t="shared" si="19"/>
        <v>0</v>
      </c>
      <c r="AB154" s="175"/>
      <c r="AC154" s="175"/>
      <c r="AD154" s="191">
        <f>PAProjects[[#This Row],[GOU 24/25]]+PAProjects[[#This Row],[DONOR 24/25]]</f>
        <v>0</v>
      </c>
    </row>
    <row r="155" spans="1:30" ht="15" customHeight="1" x14ac:dyDescent="0.25">
      <c r="A155" s="180" t="s">
        <v>152</v>
      </c>
      <c r="B155" s="175" t="s">
        <v>1304</v>
      </c>
      <c r="C155" s="175" t="e">
        <f ca="1">PAProjects[[#This Row],[LINKING_CODE]]=_xlfn.CONCAT(PAProjects[[#This Row],[Project Code]]," ",PAProjects[[#This Row],[Project Name]])</f>
        <v>#NAME?</v>
      </c>
      <c r="D155" s="175" t="e">
        <f>VLOOKUP(PAProjects[[#This Row],[LINKING_CODE]],MasterTable[[Project Code and Name ]],1,FALSE)</f>
        <v>#N/A</v>
      </c>
      <c r="E155" s="175" t="s">
        <v>520</v>
      </c>
      <c r="F155" s="175" t="s">
        <v>975</v>
      </c>
      <c r="G155" s="175" t="s">
        <v>168</v>
      </c>
      <c r="H155" s="175" t="str">
        <f>VLOOKUP(I155,'Program Codes'!C:D,2,FALSE)</f>
        <v>06</v>
      </c>
      <c r="I155" s="175" t="s">
        <v>962</v>
      </c>
      <c r="J155" s="175" t="s">
        <v>331</v>
      </c>
      <c r="K155" s="175" t="s">
        <v>720</v>
      </c>
      <c r="L155" s="175" t="s">
        <v>1509</v>
      </c>
      <c r="M155" s="182">
        <v>39630</v>
      </c>
      <c r="N155" s="182">
        <v>44742</v>
      </c>
      <c r="O155" s="183">
        <v>15.45</v>
      </c>
      <c r="P155" s="174"/>
      <c r="Q155" s="174">
        <f t="shared" si="20"/>
        <v>15.45</v>
      </c>
      <c r="R155" s="174">
        <v>0</v>
      </c>
      <c r="S155" s="175">
        <v>1.7</v>
      </c>
      <c r="T155" s="175"/>
      <c r="U155" s="191">
        <f>PAProjects[[#This Row],[GOU 21/22]]+PAProjects[[#This Row],[DONOR 21/22]]</f>
        <v>1.7</v>
      </c>
      <c r="V155" s="175"/>
      <c r="W155" s="175"/>
      <c r="X155" s="191">
        <f>PAProjects[[#This Row],[GOU 22/23]]+PAProjects[[#This Row],[DONOR 22/23]]</f>
        <v>0</v>
      </c>
      <c r="Y155" s="175"/>
      <c r="Z155" s="175"/>
      <c r="AA155" s="175">
        <f t="shared" si="19"/>
        <v>0</v>
      </c>
      <c r="AB155" s="175"/>
      <c r="AC155" s="175"/>
      <c r="AD155" s="191">
        <f>PAProjects[[#This Row],[GOU 24/25]]+PAProjects[[#This Row],[DONOR 24/25]]</f>
        <v>0</v>
      </c>
    </row>
    <row r="156" spans="1:30" ht="15" customHeight="1" x14ac:dyDescent="0.25">
      <c r="A156" s="180" t="s">
        <v>153</v>
      </c>
      <c r="B156" s="175" t="s">
        <v>1305</v>
      </c>
      <c r="C156" s="175" t="e">
        <f ca="1">PAProjects[[#This Row],[LINKING_CODE]]=_xlfn.CONCAT(PAProjects[[#This Row],[Project Code]]," ",PAProjects[[#This Row],[Project Name]])</f>
        <v>#NAME?</v>
      </c>
      <c r="D156" s="175" t="e">
        <f>VLOOKUP(PAProjects[[#This Row],[LINKING_CODE]],MasterTable[[Project Code and Name ]],1,FALSE)</f>
        <v>#N/A</v>
      </c>
      <c r="E156" s="175" t="s">
        <v>520</v>
      </c>
      <c r="F156" s="175" t="s">
        <v>975</v>
      </c>
      <c r="G156" s="175" t="s">
        <v>169</v>
      </c>
      <c r="H156" s="175" t="str">
        <f>VLOOKUP(I156,'Program Codes'!C:D,2,FALSE)</f>
        <v>06</v>
      </c>
      <c r="I156" s="175" t="s">
        <v>962</v>
      </c>
      <c r="J156" s="175" t="s">
        <v>331</v>
      </c>
      <c r="K156" s="175" t="s">
        <v>721</v>
      </c>
      <c r="L156" s="175" t="s">
        <v>1509</v>
      </c>
      <c r="M156" s="182">
        <v>39630</v>
      </c>
      <c r="N156" s="182">
        <v>44742</v>
      </c>
      <c r="O156" s="183">
        <v>36.646999999999998</v>
      </c>
      <c r="P156" s="174"/>
      <c r="Q156" s="174">
        <f t="shared" si="20"/>
        <v>36.646999999999998</v>
      </c>
      <c r="R156" s="174">
        <v>0</v>
      </c>
      <c r="S156" s="175">
        <v>1.7</v>
      </c>
      <c r="T156" s="175"/>
      <c r="U156" s="191">
        <f>PAProjects[[#This Row],[GOU 21/22]]+PAProjects[[#This Row],[DONOR 21/22]]</f>
        <v>1.7</v>
      </c>
      <c r="V156" s="175"/>
      <c r="W156" s="175"/>
      <c r="X156" s="191">
        <f>PAProjects[[#This Row],[GOU 22/23]]+PAProjects[[#This Row],[DONOR 22/23]]</f>
        <v>0</v>
      </c>
      <c r="Y156" s="175"/>
      <c r="Z156" s="175"/>
      <c r="AA156" s="175">
        <f t="shared" si="19"/>
        <v>0</v>
      </c>
      <c r="AB156" s="175"/>
      <c r="AC156" s="175"/>
      <c r="AD156" s="191">
        <f>PAProjects[[#This Row],[GOU 24/25]]+PAProjects[[#This Row],[DONOR 24/25]]</f>
        <v>0</v>
      </c>
    </row>
    <row r="157" spans="1:30" ht="15" customHeight="1" x14ac:dyDescent="0.25">
      <c r="A157" s="180" t="s">
        <v>154</v>
      </c>
      <c r="B157" s="175" t="s">
        <v>1306</v>
      </c>
      <c r="C157" s="175" t="e">
        <f ca="1">PAProjects[[#This Row],[LINKING_CODE]]=_xlfn.CONCAT(PAProjects[[#This Row],[Project Code]]," ",PAProjects[[#This Row],[Project Name]])</f>
        <v>#NAME?</v>
      </c>
      <c r="D157" s="175" t="e">
        <f>VLOOKUP(PAProjects[[#This Row],[LINKING_CODE]],MasterTable[[Project Code and Name ]],1,FALSE)</f>
        <v>#N/A</v>
      </c>
      <c r="E157" s="175" t="s">
        <v>520</v>
      </c>
      <c r="F157" s="175" t="s">
        <v>975</v>
      </c>
      <c r="G157" s="175" t="s">
        <v>170</v>
      </c>
      <c r="H157" s="175" t="str">
        <f>VLOOKUP(I157,'Program Codes'!C:D,2,FALSE)</f>
        <v>06</v>
      </c>
      <c r="I157" s="175" t="s">
        <v>962</v>
      </c>
      <c r="J157" s="175" t="s">
        <v>331</v>
      </c>
      <c r="K157" s="175" t="s">
        <v>722</v>
      </c>
      <c r="L157" s="175" t="s">
        <v>1509</v>
      </c>
      <c r="M157" s="182">
        <v>39264</v>
      </c>
      <c r="N157" s="182">
        <v>44742</v>
      </c>
      <c r="O157" s="183">
        <v>22</v>
      </c>
      <c r="P157" s="174"/>
      <c r="Q157" s="174">
        <f t="shared" si="20"/>
        <v>22</v>
      </c>
      <c r="R157" s="174">
        <v>0</v>
      </c>
      <c r="S157" s="175">
        <v>1.7</v>
      </c>
      <c r="T157" s="175"/>
      <c r="U157" s="191">
        <f>PAProjects[[#This Row],[GOU 21/22]]+PAProjects[[#This Row],[DONOR 21/22]]</f>
        <v>1.7</v>
      </c>
      <c r="V157" s="175"/>
      <c r="W157" s="175"/>
      <c r="X157" s="191">
        <f>PAProjects[[#This Row],[GOU 22/23]]+PAProjects[[#This Row],[DONOR 22/23]]</f>
        <v>0</v>
      </c>
      <c r="Y157" s="175"/>
      <c r="Z157" s="175"/>
      <c r="AA157" s="175">
        <f t="shared" si="19"/>
        <v>0</v>
      </c>
      <c r="AB157" s="175"/>
      <c r="AC157" s="175"/>
      <c r="AD157" s="191">
        <f>PAProjects[[#This Row],[GOU 24/25]]+PAProjects[[#This Row],[DONOR 24/25]]</f>
        <v>0</v>
      </c>
    </row>
    <row r="158" spans="1:30" ht="15" customHeight="1" x14ac:dyDescent="0.25">
      <c r="A158" s="180" t="s">
        <v>155</v>
      </c>
      <c r="B158" s="175" t="s">
        <v>1307</v>
      </c>
      <c r="C158" s="175" t="e">
        <f ca="1">PAProjects[[#This Row],[LINKING_CODE]]=_xlfn.CONCAT(PAProjects[[#This Row],[Project Code]]," ",PAProjects[[#This Row],[Project Name]])</f>
        <v>#NAME?</v>
      </c>
      <c r="D158" s="175" t="e">
        <f>VLOOKUP(PAProjects[[#This Row],[LINKING_CODE]],MasterTable[[Project Code and Name ]],1,FALSE)</f>
        <v>#N/A</v>
      </c>
      <c r="E158" s="175" t="s">
        <v>520</v>
      </c>
      <c r="F158" s="175" t="s">
        <v>975</v>
      </c>
      <c r="G158" s="175" t="s">
        <v>172</v>
      </c>
      <c r="H158" s="175" t="str">
        <f>VLOOKUP(I158,'Program Codes'!C:D,2,FALSE)</f>
        <v>06</v>
      </c>
      <c r="I158" s="175" t="s">
        <v>962</v>
      </c>
      <c r="J158" s="175" t="s">
        <v>331</v>
      </c>
      <c r="K158" s="175" t="s">
        <v>723</v>
      </c>
      <c r="L158" s="175" t="s">
        <v>1509</v>
      </c>
      <c r="M158" s="182">
        <v>39630</v>
      </c>
      <c r="N158" s="182">
        <v>44742</v>
      </c>
      <c r="O158" s="183">
        <v>18.559999999999999</v>
      </c>
      <c r="P158" s="174"/>
      <c r="Q158" s="174">
        <f t="shared" si="20"/>
        <v>18.559999999999999</v>
      </c>
      <c r="R158" s="174">
        <v>0</v>
      </c>
      <c r="S158" s="175">
        <v>1.7</v>
      </c>
      <c r="T158" s="175"/>
      <c r="U158" s="191">
        <f>PAProjects[[#This Row],[GOU 21/22]]+PAProjects[[#This Row],[DONOR 21/22]]</f>
        <v>1.7</v>
      </c>
      <c r="V158" s="175"/>
      <c r="W158" s="175"/>
      <c r="X158" s="191">
        <f>PAProjects[[#This Row],[GOU 22/23]]+PAProjects[[#This Row],[DONOR 22/23]]</f>
        <v>0</v>
      </c>
      <c r="Y158" s="175"/>
      <c r="Z158" s="175"/>
      <c r="AA158" s="175">
        <f t="shared" si="19"/>
        <v>0</v>
      </c>
      <c r="AB158" s="175"/>
      <c r="AC158" s="175"/>
      <c r="AD158" s="191">
        <f>PAProjects[[#This Row],[GOU 24/25]]+PAProjects[[#This Row],[DONOR 24/25]]</f>
        <v>0</v>
      </c>
    </row>
    <row r="159" spans="1:30" ht="15" customHeight="1" x14ac:dyDescent="0.25">
      <c r="A159" s="180" t="s">
        <v>156</v>
      </c>
      <c r="B159" s="175" t="s">
        <v>1308</v>
      </c>
      <c r="C159" s="175" t="e">
        <f ca="1">PAProjects[[#This Row],[LINKING_CODE]]=_xlfn.CONCAT(PAProjects[[#This Row],[Project Code]]," ",PAProjects[[#This Row],[Project Name]])</f>
        <v>#NAME?</v>
      </c>
      <c r="D159" s="175" t="e">
        <f>VLOOKUP(PAProjects[[#This Row],[LINKING_CODE]],MasterTable[[Project Code and Name ]],1,FALSE)</f>
        <v>#N/A</v>
      </c>
      <c r="E159" s="175" t="s">
        <v>520</v>
      </c>
      <c r="F159" s="175" t="s">
        <v>975</v>
      </c>
      <c r="G159" s="175" t="s">
        <v>173</v>
      </c>
      <c r="H159" s="175" t="str">
        <f>VLOOKUP(I159,'Program Codes'!C:D,2,FALSE)</f>
        <v>06</v>
      </c>
      <c r="I159" s="175" t="s">
        <v>962</v>
      </c>
      <c r="J159" s="175" t="s">
        <v>331</v>
      </c>
      <c r="K159" s="175" t="s">
        <v>724</v>
      </c>
      <c r="L159" s="175" t="s">
        <v>1509</v>
      </c>
      <c r="M159" s="182">
        <v>39630</v>
      </c>
      <c r="N159" s="182">
        <v>44742</v>
      </c>
      <c r="O159" s="183">
        <v>50.078000000000003</v>
      </c>
      <c r="P159" s="174"/>
      <c r="Q159" s="174">
        <f t="shared" si="20"/>
        <v>50.078000000000003</v>
      </c>
      <c r="R159" s="174">
        <v>0</v>
      </c>
      <c r="S159" s="175">
        <v>1.7</v>
      </c>
      <c r="T159" s="175"/>
      <c r="U159" s="191">
        <f>PAProjects[[#This Row],[GOU 21/22]]+PAProjects[[#This Row],[DONOR 21/22]]</f>
        <v>1.7</v>
      </c>
      <c r="V159" s="175"/>
      <c r="W159" s="175"/>
      <c r="X159" s="191">
        <f>PAProjects[[#This Row],[GOU 22/23]]+PAProjects[[#This Row],[DONOR 22/23]]</f>
        <v>0</v>
      </c>
      <c r="Y159" s="175"/>
      <c r="Z159" s="175"/>
      <c r="AA159" s="175">
        <f t="shared" si="19"/>
        <v>0</v>
      </c>
      <c r="AB159" s="175"/>
      <c r="AC159" s="175"/>
      <c r="AD159" s="191">
        <f>PAProjects[[#This Row],[GOU 24/25]]+PAProjects[[#This Row],[DONOR 24/25]]</f>
        <v>0</v>
      </c>
    </row>
    <row r="160" spans="1:30" ht="15" customHeight="1" x14ac:dyDescent="0.25">
      <c r="A160" s="180" t="s">
        <v>157</v>
      </c>
      <c r="B160" s="175" t="s">
        <v>1309</v>
      </c>
      <c r="C160" s="175" t="e">
        <f ca="1">PAProjects[[#This Row],[LINKING_CODE]]=_xlfn.CONCAT(PAProjects[[#This Row],[Project Code]]," ",PAProjects[[#This Row],[Project Name]])</f>
        <v>#NAME?</v>
      </c>
      <c r="D160" s="175" t="e">
        <f>VLOOKUP(PAProjects[[#This Row],[LINKING_CODE]],MasterTable[[Project Code and Name ]],1,FALSE)</f>
        <v>#N/A</v>
      </c>
      <c r="E160" s="175" t="s">
        <v>520</v>
      </c>
      <c r="F160" s="175" t="s">
        <v>975</v>
      </c>
      <c r="G160" s="175" t="s">
        <v>174</v>
      </c>
      <c r="H160" s="175" t="str">
        <f>VLOOKUP(I160,'Program Codes'!C:D,2,FALSE)</f>
        <v>06</v>
      </c>
      <c r="I160" s="175" t="s">
        <v>962</v>
      </c>
      <c r="J160" s="175" t="s">
        <v>331</v>
      </c>
      <c r="K160" s="175" t="s">
        <v>725</v>
      </c>
      <c r="L160" s="175" t="s">
        <v>1509</v>
      </c>
      <c r="M160" s="182">
        <v>39995</v>
      </c>
      <c r="N160" s="182">
        <v>44742</v>
      </c>
      <c r="O160" s="183">
        <v>16.989999999999998</v>
      </c>
      <c r="P160" s="174"/>
      <c r="Q160" s="174">
        <f t="shared" si="20"/>
        <v>16.989999999999998</v>
      </c>
      <c r="R160" s="174">
        <v>0</v>
      </c>
      <c r="S160" s="175">
        <v>2.5499999999999998</v>
      </c>
      <c r="T160" s="175"/>
      <c r="U160" s="191">
        <f>PAProjects[[#This Row],[GOU 21/22]]+PAProjects[[#This Row],[DONOR 21/22]]</f>
        <v>2.5499999999999998</v>
      </c>
      <c r="V160" s="175"/>
      <c r="W160" s="175"/>
      <c r="X160" s="191">
        <f>PAProjects[[#This Row],[GOU 22/23]]+PAProjects[[#This Row],[DONOR 22/23]]</f>
        <v>0</v>
      </c>
      <c r="Y160" s="175"/>
      <c r="Z160" s="175"/>
      <c r="AA160" s="175">
        <f t="shared" si="19"/>
        <v>0</v>
      </c>
      <c r="AB160" s="175"/>
      <c r="AC160" s="175"/>
      <c r="AD160" s="191">
        <f>PAProjects[[#This Row],[GOU 24/25]]+PAProjects[[#This Row],[DONOR 24/25]]</f>
        <v>0</v>
      </c>
    </row>
    <row r="161" spans="1:30" ht="15" customHeight="1" x14ac:dyDescent="0.25">
      <c r="A161" s="180" t="s">
        <v>158</v>
      </c>
      <c r="B161" s="175" t="s">
        <v>1310</v>
      </c>
      <c r="C161" s="175" t="e">
        <f ca="1">PAProjects[[#This Row],[LINKING_CODE]]=_xlfn.CONCAT(PAProjects[[#This Row],[Project Code]]," ",PAProjects[[#This Row],[Project Name]])</f>
        <v>#NAME?</v>
      </c>
      <c r="D161" s="175" t="e">
        <f>VLOOKUP(PAProjects[[#This Row],[LINKING_CODE]],MasterTable[[Project Code and Name ]],1,FALSE)</f>
        <v>#N/A</v>
      </c>
      <c r="E161" s="175" t="s">
        <v>520</v>
      </c>
      <c r="F161" s="175" t="s">
        <v>975</v>
      </c>
      <c r="G161" s="175" t="s">
        <v>175</v>
      </c>
      <c r="H161" s="175" t="str">
        <f>VLOOKUP(I161,'Program Codes'!C:D,2,FALSE)</f>
        <v>06</v>
      </c>
      <c r="I161" s="175" t="s">
        <v>962</v>
      </c>
      <c r="J161" s="175" t="s">
        <v>331</v>
      </c>
      <c r="K161" s="175" t="s">
        <v>726</v>
      </c>
      <c r="L161" s="175" t="s">
        <v>1509</v>
      </c>
      <c r="M161" s="182">
        <v>40360</v>
      </c>
      <c r="N161" s="182">
        <v>44742</v>
      </c>
      <c r="O161" s="183">
        <v>31.690999999999999</v>
      </c>
      <c r="P161" s="174"/>
      <c r="Q161" s="174">
        <f t="shared" si="20"/>
        <v>31.690999999999999</v>
      </c>
      <c r="R161" s="174">
        <v>0</v>
      </c>
      <c r="S161" s="175"/>
      <c r="T161" s="175"/>
      <c r="U161" s="191">
        <f>PAProjects[[#This Row],[GOU 21/22]]+PAProjects[[#This Row],[DONOR 21/22]]</f>
        <v>0</v>
      </c>
      <c r="V161" s="175"/>
      <c r="W161" s="175"/>
      <c r="X161" s="191">
        <f>PAProjects[[#This Row],[GOU 22/23]]+PAProjects[[#This Row],[DONOR 22/23]]</f>
        <v>0</v>
      </c>
      <c r="Y161" s="175"/>
      <c r="Z161" s="175"/>
      <c r="AA161" s="175">
        <f t="shared" si="19"/>
        <v>0</v>
      </c>
      <c r="AB161" s="175"/>
      <c r="AC161" s="175"/>
      <c r="AD161" s="191">
        <f>PAProjects[[#This Row],[GOU 24/25]]+PAProjects[[#This Row],[DONOR 24/25]]</f>
        <v>0</v>
      </c>
    </row>
    <row r="162" spans="1:30" ht="15" customHeight="1" x14ac:dyDescent="0.25">
      <c r="A162" s="180" t="s">
        <v>159</v>
      </c>
      <c r="B162" s="175" t="s">
        <v>1311</v>
      </c>
      <c r="C162" s="175" t="e">
        <f ca="1">PAProjects[[#This Row],[LINKING_CODE]]=_xlfn.CONCAT(PAProjects[[#This Row],[Project Code]]," ",PAProjects[[#This Row],[Project Name]])</f>
        <v>#NAME?</v>
      </c>
      <c r="D162" s="175" t="e">
        <f>VLOOKUP(PAProjects[[#This Row],[LINKING_CODE]],MasterTable[[Project Code and Name ]],1,FALSE)</f>
        <v>#N/A</v>
      </c>
      <c r="E162" s="175" t="s">
        <v>520</v>
      </c>
      <c r="F162" s="175" t="s">
        <v>975</v>
      </c>
      <c r="G162" s="175" t="s">
        <v>176</v>
      </c>
      <c r="H162" s="175" t="str">
        <f>VLOOKUP(I162,'Program Codes'!C:D,2,FALSE)</f>
        <v>06</v>
      </c>
      <c r="I162" s="175" t="s">
        <v>962</v>
      </c>
      <c r="J162" s="175" t="s">
        <v>331</v>
      </c>
      <c r="K162" s="175" t="s">
        <v>727</v>
      </c>
      <c r="L162" s="175" t="s">
        <v>1509</v>
      </c>
      <c r="M162" s="182">
        <v>41456</v>
      </c>
      <c r="N162" s="182">
        <v>44742</v>
      </c>
      <c r="O162" s="183">
        <v>5.84</v>
      </c>
      <c r="P162" s="174"/>
      <c r="Q162" s="174">
        <f t="shared" si="20"/>
        <v>5.84</v>
      </c>
      <c r="R162" s="174">
        <v>0</v>
      </c>
      <c r="S162" s="175">
        <v>0.98</v>
      </c>
      <c r="T162" s="175"/>
      <c r="U162" s="191">
        <f>PAProjects[[#This Row],[GOU 21/22]]+PAProjects[[#This Row],[DONOR 21/22]]</f>
        <v>0.98</v>
      </c>
      <c r="V162" s="175"/>
      <c r="W162" s="175"/>
      <c r="X162" s="191">
        <f>PAProjects[[#This Row],[GOU 22/23]]+PAProjects[[#This Row],[DONOR 22/23]]</f>
        <v>0</v>
      </c>
      <c r="Y162" s="175"/>
      <c r="Z162" s="175"/>
      <c r="AA162" s="175">
        <f t="shared" si="19"/>
        <v>0</v>
      </c>
      <c r="AB162" s="175"/>
      <c r="AC162" s="175"/>
      <c r="AD162" s="191">
        <f>PAProjects[[#This Row],[GOU 24/25]]+PAProjects[[#This Row],[DONOR 24/25]]</f>
        <v>0</v>
      </c>
    </row>
    <row r="163" spans="1:30" ht="15" customHeight="1" x14ac:dyDescent="0.25">
      <c r="A163" s="180" t="s">
        <v>160</v>
      </c>
      <c r="B163" s="181" t="s">
        <v>1312</v>
      </c>
      <c r="C163" s="181" t="e">
        <f ca="1">PAProjects[[#This Row],[LINKING_CODE]]=_xlfn.CONCAT(PAProjects[[#This Row],[Project Code]]," ",PAProjects[[#This Row],[Project Name]])</f>
        <v>#NAME?</v>
      </c>
      <c r="D163" s="181" t="e">
        <f>VLOOKUP(PAProjects[[#This Row],[LINKING_CODE]],MasterTable[[Project Code and Name ]],1,FALSE)</f>
        <v>#N/A</v>
      </c>
      <c r="E163" s="181" t="s">
        <v>533</v>
      </c>
      <c r="F163" s="181" t="s">
        <v>1216</v>
      </c>
      <c r="G163" s="181" t="s">
        <v>104</v>
      </c>
      <c r="H163" s="181" t="str">
        <f>VLOOKUP(I163,'Program Codes'!C:D,2,FALSE)</f>
        <v>13</v>
      </c>
      <c r="I163" s="181" t="s">
        <v>1113</v>
      </c>
      <c r="J163" s="180" t="s">
        <v>925</v>
      </c>
      <c r="K163" s="181" t="s">
        <v>1217</v>
      </c>
      <c r="L163" s="181" t="str">
        <f t="shared" si="13"/>
        <v>Retooling</v>
      </c>
      <c r="M163" s="182">
        <v>44013</v>
      </c>
      <c r="N163" s="182">
        <v>45838</v>
      </c>
      <c r="O163" s="185">
        <v>298.06</v>
      </c>
      <c r="P163" s="185"/>
      <c r="Q163" s="185">
        <f t="shared" si="20"/>
        <v>298.06</v>
      </c>
      <c r="R163" s="185">
        <v>0</v>
      </c>
      <c r="S163" s="186">
        <v>62.866999999999997</v>
      </c>
      <c r="T163" s="181"/>
      <c r="U163" s="186">
        <f>PAProjects[[#This Row],[GOU 21/22]]+PAProjects[[#This Row],[DONOR 21/22]]</f>
        <v>62.866999999999997</v>
      </c>
      <c r="V163" s="186">
        <v>92.5</v>
      </c>
      <c r="W163" s="181"/>
      <c r="X163" s="186">
        <f>PAProjects[[#This Row],[GOU 22/23]]+PAProjects[[#This Row],[DONOR 22/23]]</f>
        <v>92.5</v>
      </c>
      <c r="Y163" s="186">
        <v>83.233000000000004</v>
      </c>
      <c r="Z163" s="181"/>
      <c r="AA163" s="186">
        <f>SUM(Y163:Z163)</f>
        <v>83.233000000000004</v>
      </c>
      <c r="AB163" s="186">
        <v>59.47</v>
      </c>
      <c r="AC163" s="181"/>
      <c r="AD163" s="186">
        <f>PAProjects[[#This Row],[GOU 24/25]]+PAProjects[[#This Row],[DONOR 24/25]]</f>
        <v>59.47</v>
      </c>
    </row>
    <row r="164" spans="1:30" ht="15" customHeight="1" x14ac:dyDescent="0.25">
      <c r="A164" s="180" t="s">
        <v>161</v>
      </c>
      <c r="B164" s="175" t="s">
        <v>1313</v>
      </c>
      <c r="C164" s="175" t="e">
        <f ca="1">PAProjects[[#This Row],[LINKING_CODE]]=_xlfn.CONCAT(PAProjects[[#This Row],[Project Code]]," ",PAProjects[[#This Row],[Project Name]])</f>
        <v>#NAME?</v>
      </c>
      <c r="D164" s="175" t="e">
        <f>VLOOKUP(PAProjects[[#This Row],[LINKING_CODE]],MasterTable[[Project Code and Name ]],1,FALSE)</f>
        <v>#N/A</v>
      </c>
      <c r="E164" s="175" t="s">
        <v>522</v>
      </c>
      <c r="F164" s="175" t="s">
        <v>1173</v>
      </c>
      <c r="G164" s="175" t="s">
        <v>68</v>
      </c>
      <c r="H164" s="175" t="str">
        <f>VLOOKUP(I164,'Program Codes'!C:D,2,FALSE)</f>
        <v>18</v>
      </c>
      <c r="I164" s="175" t="s">
        <v>1272</v>
      </c>
      <c r="J164" s="175" t="s">
        <v>775</v>
      </c>
      <c r="K164" s="175" t="s">
        <v>776</v>
      </c>
      <c r="L164" s="175" t="s">
        <v>1509</v>
      </c>
      <c r="M164" s="182">
        <v>43282</v>
      </c>
      <c r="N164" s="182">
        <v>44742</v>
      </c>
      <c r="O164" s="183">
        <v>61.308999999999997</v>
      </c>
      <c r="P164" s="184">
        <v>88.427000000000007</v>
      </c>
      <c r="Q164" s="174">
        <f t="shared" si="20"/>
        <v>149.73599999999999</v>
      </c>
      <c r="R164" s="174">
        <v>0</v>
      </c>
      <c r="S164" s="175">
        <v>4.067554436</v>
      </c>
      <c r="T164" s="175"/>
      <c r="U164" s="191">
        <f>PAProjects[[#This Row],[GOU 21/22]]+PAProjects[[#This Row],[DONOR 21/22]]</f>
        <v>4.067554436</v>
      </c>
      <c r="V164" s="175"/>
      <c r="W164" s="175"/>
      <c r="X164" s="191">
        <f>PAProjects[[#This Row],[GOU 22/23]]+PAProjects[[#This Row],[DONOR 22/23]]</f>
        <v>0</v>
      </c>
      <c r="Y164" s="175"/>
      <c r="Z164" s="175"/>
      <c r="AA164" s="175">
        <f>Y164+Z164</f>
        <v>0</v>
      </c>
      <c r="AB164" s="175"/>
      <c r="AC164" s="175"/>
      <c r="AD164" s="191">
        <f>PAProjects[[#This Row],[GOU 24/25]]+PAProjects[[#This Row],[DONOR 24/25]]</f>
        <v>0</v>
      </c>
    </row>
    <row r="165" spans="1:30" ht="15" customHeight="1" x14ac:dyDescent="0.25">
      <c r="A165" s="180" t="s">
        <v>162</v>
      </c>
      <c r="B165" s="175" t="s">
        <v>1314</v>
      </c>
      <c r="C165" s="175" t="e">
        <f ca="1">PAProjects[[#This Row],[LINKING_CODE]]=_xlfn.CONCAT(PAProjects[[#This Row],[Project Code]]," ",PAProjects[[#This Row],[Project Name]])</f>
        <v>#NAME?</v>
      </c>
      <c r="D165" s="175" t="e">
        <f>VLOOKUP(PAProjects[[#This Row],[LINKING_CODE]],MasterTable[[Project Code and Name ]],1,FALSE)</f>
        <v>#N/A</v>
      </c>
      <c r="E165" s="175" t="s">
        <v>511</v>
      </c>
      <c r="F165" s="175" t="s">
        <v>890</v>
      </c>
      <c r="G165" s="175" t="s">
        <v>891</v>
      </c>
      <c r="H165" s="175" t="str">
        <f>VLOOKUP(I165,'Program Codes'!C:D,2,FALSE)</f>
        <v>01</v>
      </c>
      <c r="I165" s="175" t="s">
        <v>928</v>
      </c>
      <c r="J165" s="175" t="s">
        <v>892</v>
      </c>
      <c r="K165" s="175" t="s">
        <v>514</v>
      </c>
      <c r="L165" s="175" t="s">
        <v>1509</v>
      </c>
      <c r="M165" s="182">
        <v>41456</v>
      </c>
      <c r="N165" s="182">
        <v>44742</v>
      </c>
      <c r="O165" s="174">
        <v>0.3</v>
      </c>
      <c r="P165" s="174">
        <v>441.8</v>
      </c>
      <c r="Q165" s="174">
        <f t="shared" si="20"/>
        <v>442.1</v>
      </c>
      <c r="R165" s="174">
        <v>0</v>
      </c>
      <c r="S165" s="175">
        <v>0.61</v>
      </c>
      <c r="T165" s="175">
        <v>296.26</v>
      </c>
      <c r="U165" s="191">
        <f>PAProjects[[#This Row],[GOU 21/22]]+PAProjects[[#This Row],[DONOR 21/22]]</f>
        <v>296.87</v>
      </c>
      <c r="V165" s="175"/>
      <c r="W165" s="175"/>
      <c r="X165" s="191">
        <f>PAProjects[[#This Row],[GOU 22/23]]+PAProjects[[#This Row],[DONOR 22/23]]</f>
        <v>0</v>
      </c>
      <c r="Y165" s="175"/>
      <c r="Z165" s="175"/>
      <c r="AA165" s="175"/>
      <c r="AB165" s="175"/>
      <c r="AC165" s="175"/>
      <c r="AD165" s="191">
        <f>PAProjects[[#This Row],[GOU 24/25]]+PAProjects[[#This Row],[DONOR 24/25]]</f>
        <v>0</v>
      </c>
    </row>
    <row r="166" spans="1:30" ht="15" customHeight="1" x14ac:dyDescent="0.25">
      <c r="A166" s="180" t="s">
        <v>163</v>
      </c>
      <c r="B166" s="175" t="s">
        <v>1315</v>
      </c>
      <c r="C166" s="175" t="e">
        <f ca="1">PAProjects[[#This Row],[LINKING_CODE]]=_xlfn.CONCAT(PAProjects[[#This Row],[Project Code]]," ",PAProjects[[#This Row],[Project Name]])</f>
        <v>#NAME?</v>
      </c>
      <c r="D166" s="175" t="e">
        <f>VLOOKUP(PAProjects[[#This Row],[LINKING_CODE]],MasterTable[[Project Code and Name ]],1,FALSE)</f>
        <v>#N/A</v>
      </c>
      <c r="E166" s="175" t="s">
        <v>511</v>
      </c>
      <c r="F166" s="175" t="s">
        <v>890</v>
      </c>
      <c r="G166" s="175" t="s">
        <v>891</v>
      </c>
      <c r="H166" s="175" t="str">
        <f>VLOOKUP(I166,'Program Codes'!C:D,2,FALSE)</f>
        <v>01</v>
      </c>
      <c r="I166" s="175" t="s">
        <v>928</v>
      </c>
      <c r="J166" s="175" t="s">
        <v>893</v>
      </c>
      <c r="K166" s="175" t="s">
        <v>536</v>
      </c>
      <c r="L166" s="175" t="s">
        <v>1509</v>
      </c>
      <c r="M166" s="182">
        <v>41821</v>
      </c>
      <c r="N166" s="182">
        <v>44742</v>
      </c>
      <c r="O166" s="174">
        <v>45.1</v>
      </c>
      <c r="P166" s="174">
        <v>80.02</v>
      </c>
      <c r="Q166" s="174">
        <f t="shared" si="20"/>
        <v>125.12</v>
      </c>
      <c r="R166" s="174">
        <v>0</v>
      </c>
      <c r="S166" s="175">
        <v>0.75</v>
      </c>
      <c r="T166" s="175">
        <v>40.299999999999997</v>
      </c>
      <c r="U166" s="191">
        <f>PAProjects[[#This Row],[GOU 21/22]]+PAProjects[[#This Row],[DONOR 21/22]]</f>
        <v>41.05</v>
      </c>
      <c r="V166" s="175"/>
      <c r="W166" s="175"/>
      <c r="X166" s="191">
        <f>PAProjects[[#This Row],[GOU 22/23]]+PAProjects[[#This Row],[DONOR 22/23]]</f>
        <v>0</v>
      </c>
      <c r="Y166" s="175"/>
      <c r="Z166" s="175"/>
      <c r="AA166" s="175"/>
      <c r="AB166" s="175"/>
      <c r="AC166" s="175"/>
      <c r="AD166" s="191">
        <f>PAProjects[[#This Row],[GOU 24/25]]+PAProjects[[#This Row],[DONOR 24/25]]</f>
        <v>0</v>
      </c>
    </row>
    <row r="167" spans="1:30" ht="15" customHeight="1" x14ac:dyDescent="0.25">
      <c r="A167" s="180" t="s">
        <v>164</v>
      </c>
      <c r="B167" s="175" t="s">
        <v>1316</v>
      </c>
      <c r="C167" s="175" t="e">
        <f ca="1">PAProjects[[#This Row],[LINKING_CODE]]=_xlfn.CONCAT(PAProjects[[#This Row],[Project Code]]," ",PAProjects[[#This Row],[Project Name]])</f>
        <v>#NAME?</v>
      </c>
      <c r="D167" s="175" t="e">
        <f>VLOOKUP(PAProjects[[#This Row],[LINKING_CODE]],MasterTable[[Project Code and Name ]],1,FALSE)</f>
        <v>#N/A</v>
      </c>
      <c r="E167" s="175" t="s">
        <v>511</v>
      </c>
      <c r="F167" s="175" t="s">
        <v>890</v>
      </c>
      <c r="G167" s="175" t="s">
        <v>891</v>
      </c>
      <c r="H167" s="175" t="str">
        <f>VLOOKUP(I167,'Program Codes'!C:D,2,FALSE)</f>
        <v>01</v>
      </c>
      <c r="I167" s="175" t="s">
        <v>928</v>
      </c>
      <c r="J167" s="175" t="s">
        <v>894</v>
      </c>
      <c r="K167" s="175" t="s">
        <v>895</v>
      </c>
      <c r="L167" s="175" t="s">
        <v>1509</v>
      </c>
      <c r="M167" s="182">
        <v>42186</v>
      </c>
      <c r="N167" s="182">
        <v>45107</v>
      </c>
      <c r="O167" s="174">
        <v>7.4</v>
      </c>
      <c r="P167" s="174"/>
      <c r="Q167" s="174">
        <f t="shared" si="20"/>
        <v>7.4</v>
      </c>
      <c r="R167" s="174">
        <v>0</v>
      </c>
      <c r="S167" s="175">
        <v>3</v>
      </c>
      <c r="T167" s="175"/>
      <c r="U167" s="191">
        <f>PAProjects[[#This Row],[GOU 21/22]]+PAProjects[[#This Row],[DONOR 21/22]]</f>
        <v>3</v>
      </c>
      <c r="V167" s="175">
        <v>3</v>
      </c>
      <c r="W167" s="175"/>
      <c r="X167" s="191">
        <f>PAProjects[[#This Row],[GOU 22/23]]+PAProjects[[#This Row],[DONOR 22/23]]</f>
        <v>3</v>
      </c>
      <c r="Y167" s="175"/>
      <c r="Z167" s="175"/>
      <c r="AA167" s="175"/>
      <c r="AB167" s="175"/>
      <c r="AC167" s="175"/>
      <c r="AD167" s="191">
        <f>PAProjects[[#This Row],[GOU 24/25]]+PAProjects[[#This Row],[DONOR 24/25]]</f>
        <v>0</v>
      </c>
    </row>
    <row r="168" spans="1:30" ht="15" customHeight="1" x14ac:dyDescent="0.25">
      <c r="A168" s="180" t="s">
        <v>165</v>
      </c>
      <c r="B168" s="175" t="s">
        <v>1317</v>
      </c>
      <c r="C168" s="175" t="e">
        <f ca="1">PAProjects[[#This Row],[LINKING_CODE]]=_xlfn.CONCAT(PAProjects[[#This Row],[Project Code]]," ",PAProjects[[#This Row],[Project Name]])</f>
        <v>#NAME?</v>
      </c>
      <c r="D168" s="175" t="e">
        <f>VLOOKUP(PAProjects[[#This Row],[LINKING_CODE]],MasterTable[[Project Code and Name ]],1,FALSE)</f>
        <v>#N/A</v>
      </c>
      <c r="E168" s="175" t="s">
        <v>511</v>
      </c>
      <c r="F168" s="175" t="s">
        <v>890</v>
      </c>
      <c r="G168" s="175" t="s">
        <v>891</v>
      </c>
      <c r="H168" s="175" t="str">
        <f>VLOOKUP(I168,'Program Codes'!C:D,2,FALSE)</f>
        <v>01</v>
      </c>
      <c r="I168" s="175" t="s">
        <v>928</v>
      </c>
      <c r="J168" s="175" t="s">
        <v>896</v>
      </c>
      <c r="K168" s="175" t="s">
        <v>517</v>
      </c>
      <c r="L168" s="175" t="s">
        <v>1509</v>
      </c>
      <c r="M168" s="182">
        <v>42186</v>
      </c>
      <c r="N168" s="182">
        <v>44742</v>
      </c>
      <c r="O168" s="174">
        <v>4</v>
      </c>
      <c r="P168" s="174">
        <v>44.58</v>
      </c>
      <c r="Q168" s="174">
        <f t="shared" si="20"/>
        <v>48.58</v>
      </c>
      <c r="R168" s="174">
        <v>0</v>
      </c>
      <c r="S168" s="175">
        <v>0.31</v>
      </c>
      <c r="T168" s="175">
        <v>2.2599999999999998</v>
      </c>
      <c r="U168" s="191">
        <f>PAProjects[[#This Row],[GOU 21/22]]+PAProjects[[#This Row],[DONOR 21/22]]</f>
        <v>2.57</v>
      </c>
      <c r="V168" s="175"/>
      <c r="W168" s="175"/>
      <c r="X168" s="191">
        <f>PAProjects[[#This Row],[GOU 22/23]]+PAProjects[[#This Row],[DONOR 22/23]]</f>
        <v>0</v>
      </c>
      <c r="Y168" s="175"/>
      <c r="Z168" s="175"/>
      <c r="AA168" s="175"/>
      <c r="AB168" s="175"/>
      <c r="AC168" s="175"/>
      <c r="AD168" s="191">
        <f>PAProjects[[#This Row],[GOU 24/25]]+PAProjects[[#This Row],[DONOR 24/25]]</f>
        <v>0</v>
      </c>
    </row>
    <row r="169" spans="1:30" ht="15" customHeight="1" x14ac:dyDescent="0.25">
      <c r="A169" s="180" t="s">
        <v>166</v>
      </c>
      <c r="B169" s="175" t="s">
        <v>1318</v>
      </c>
      <c r="C169" s="175" t="e">
        <f ca="1">PAProjects[[#This Row],[LINKING_CODE]]=_xlfn.CONCAT(PAProjects[[#This Row],[Project Code]]," ",PAProjects[[#This Row],[Project Name]])</f>
        <v>#NAME?</v>
      </c>
      <c r="D169" s="175" t="e">
        <f>VLOOKUP(PAProjects[[#This Row],[LINKING_CODE]],MasterTable[[Project Code and Name ]],1,FALSE)</f>
        <v>#N/A</v>
      </c>
      <c r="E169" s="175" t="s">
        <v>511</v>
      </c>
      <c r="F169" s="175" t="s">
        <v>890</v>
      </c>
      <c r="G169" s="175" t="s">
        <v>891</v>
      </c>
      <c r="H169" s="175" t="str">
        <f>VLOOKUP(I169,'Program Codes'!C:D,2,FALSE)</f>
        <v>01</v>
      </c>
      <c r="I169" s="175" t="s">
        <v>928</v>
      </c>
      <c r="J169" s="175" t="s">
        <v>898</v>
      </c>
      <c r="K169" s="175" t="s">
        <v>521</v>
      </c>
      <c r="L169" s="175" t="s">
        <v>1509</v>
      </c>
      <c r="M169" s="182">
        <v>42186</v>
      </c>
      <c r="N169" s="182">
        <v>44742</v>
      </c>
      <c r="O169" s="174">
        <v>45.6</v>
      </c>
      <c r="P169" s="174"/>
      <c r="Q169" s="174">
        <f t="shared" si="20"/>
        <v>45.6</v>
      </c>
      <c r="R169" s="174">
        <v>0</v>
      </c>
      <c r="S169" s="175">
        <v>13.15</v>
      </c>
      <c r="T169" s="175"/>
      <c r="U169" s="191">
        <f>PAProjects[[#This Row],[GOU 21/22]]+PAProjects[[#This Row],[DONOR 21/22]]</f>
        <v>13.15</v>
      </c>
      <c r="V169" s="175"/>
      <c r="W169" s="175"/>
      <c r="X169" s="191">
        <f>PAProjects[[#This Row],[GOU 22/23]]+PAProjects[[#This Row],[DONOR 22/23]]</f>
        <v>0</v>
      </c>
      <c r="Y169" s="175"/>
      <c r="Z169" s="175"/>
      <c r="AA169" s="175"/>
      <c r="AB169" s="175"/>
      <c r="AC169" s="175"/>
      <c r="AD169" s="191">
        <f>PAProjects[[#This Row],[GOU 24/25]]+PAProjects[[#This Row],[DONOR 24/25]]</f>
        <v>0</v>
      </c>
    </row>
    <row r="170" spans="1:30" ht="15" customHeight="1" x14ac:dyDescent="0.25">
      <c r="A170" s="180" t="s">
        <v>167</v>
      </c>
      <c r="B170" s="175" t="s">
        <v>1319</v>
      </c>
      <c r="C170" s="175" t="e">
        <f ca="1">PAProjects[[#This Row],[LINKING_CODE]]=_xlfn.CONCAT(PAProjects[[#This Row],[Project Code]]," ",PAProjects[[#This Row],[Project Name]])</f>
        <v>#NAME?</v>
      </c>
      <c r="D170" s="175" t="e">
        <f>VLOOKUP(PAProjects[[#This Row],[LINKING_CODE]],MasterTable[[Project Code and Name ]],1,FALSE)</f>
        <v>#N/A</v>
      </c>
      <c r="E170" s="175" t="s">
        <v>511</v>
      </c>
      <c r="F170" s="175" t="s">
        <v>890</v>
      </c>
      <c r="G170" s="175" t="s">
        <v>891</v>
      </c>
      <c r="H170" s="175" t="str">
        <f>VLOOKUP(I170,'Program Codes'!C:D,2,FALSE)</f>
        <v>01</v>
      </c>
      <c r="I170" s="175" t="s">
        <v>928</v>
      </c>
      <c r="J170" s="175" t="s">
        <v>900</v>
      </c>
      <c r="K170" s="175" t="s">
        <v>901</v>
      </c>
      <c r="L170" s="175" t="s">
        <v>1509</v>
      </c>
      <c r="M170" s="182">
        <v>42186</v>
      </c>
      <c r="N170" s="182">
        <v>44742</v>
      </c>
      <c r="O170" s="174">
        <v>125.5</v>
      </c>
      <c r="P170" s="174"/>
      <c r="Q170" s="174">
        <f t="shared" si="20"/>
        <v>125.5</v>
      </c>
      <c r="R170" s="174">
        <v>0</v>
      </c>
      <c r="S170" s="175">
        <v>38.4</v>
      </c>
      <c r="T170" s="175"/>
      <c r="U170" s="191">
        <f>PAProjects[[#This Row],[GOU 21/22]]+PAProjects[[#This Row],[DONOR 21/22]]</f>
        <v>38.4</v>
      </c>
      <c r="V170" s="175"/>
      <c r="W170" s="175"/>
      <c r="X170" s="191">
        <f>PAProjects[[#This Row],[GOU 22/23]]+PAProjects[[#This Row],[DONOR 22/23]]</f>
        <v>0</v>
      </c>
      <c r="Y170" s="175"/>
      <c r="Z170" s="175"/>
      <c r="AA170" s="175"/>
      <c r="AB170" s="175"/>
      <c r="AC170" s="175"/>
      <c r="AD170" s="191">
        <f>PAProjects[[#This Row],[GOU 24/25]]+PAProjects[[#This Row],[DONOR 24/25]]</f>
        <v>0</v>
      </c>
    </row>
    <row r="171" spans="1:30" ht="15" customHeight="1" x14ac:dyDescent="0.25">
      <c r="A171" s="180" t="s">
        <v>168</v>
      </c>
      <c r="B171" s="175" t="s">
        <v>1320</v>
      </c>
      <c r="C171" s="175" t="e">
        <f ca="1">PAProjects[[#This Row],[LINKING_CODE]]=_xlfn.CONCAT(PAProjects[[#This Row],[Project Code]]," ",PAProjects[[#This Row],[Project Name]])</f>
        <v>#NAME?</v>
      </c>
      <c r="D171" s="175" t="e">
        <f>VLOOKUP(PAProjects[[#This Row],[LINKING_CODE]],MasterTable[[Project Code and Name ]],1,FALSE)</f>
        <v>#N/A</v>
      </c>
      <c r="E171" s="175" t="s">
        <v>511</v>
      </c>
      <c r="F171" s="175" t="s">
        <v>890</v>
      </c>
      <c r="G171" s="175" t="s">
        <v>891</v>
      </c>
      <c r="H171" s="175" t="str">
        <f>VLOOKUP(I171,'Program Codes'!C:D,2,FALSE)</f>
        <v>01</v>
      </c>
      <c r="I171" s="175" t="s">
        <v>928</v>
      </c>
      <c r="J171" s="175" t="s">
        <v>903</v>
      </c>
      <c r="K171" s="175" t="s">
        <v>523</v>
      </c>
      <c r="L171" s="175" t="s">
        <v>1509</v>
      </c>
      <c r="M171" s="182">
        <v>42186</v>
      </c>
      <c r="N171" s="182">
        <v>44742</v>
      </c>
      <c r="O171" s="174">
        <v>59.4</v>
      </c>
      <c r="P171" s="174"/>
      <c r="Q171" s="174">
        <f t="shared" si="20"/>
        <v>59.4</v>
      </c>
      <c r="R171" s="174">
        <v>0</v>
      </c>
      <c r="S171" s="175">
        <v>13.31</v>
      </c>
      <c r="T171" s="175"/>
      <c r="U171" s="191">
        <f>PAProjects[[#This Row],[GOU 21/22]]+PAProjects[[#This Row],[DONOR 21/22]]</f>
        <v>13.31</v>
      </c>
      <c r="V171" s="175"/>
      <c r="W171" s="175"/>
      <c r="X171" s="191">
        <f>PAProjects[[#This Row],[GOU 22/23]]+PAProjects[[#This Row],[DONOR 22/23]]</f>
        <v>0</v>
      </c>
      <c r="Y171" s="175"/>
      <c r="Z171" s="175"/>
      <c r="AA171" s="175"/>
      <c r="AB171" s="175"/>
      <c r="AC171" s="175"/>
      <c r="AD171" s="191">
        <f>PAProjects[[#This Row],[GOU 24/25]]+PAProjects[[#This Row],[DONOR 24/25]]</f>
        <v>0</v>
      </c>
    </row>
    <row r="172" spans="1:30" ht="15" customHeight="1" x14ac:dyDescent="0.25">
      <c r="A172" s="180" t="s">
        <v>169</v>
      </c>
      <c r="B172" s="175" t="s">
        <v>1321</v>
      </c>
      <c r="C172" s="175" t="e">
        <f ca="1">PAProjects[[#This Row],[LINKING_CODE]]=_xlfn.CONCAT(PAProjects[[#This Row],[Project Code]]," ",PAProjects[[#This Row],[Project Name]])</f>
        <v>#NAME?</v>
      </c>
      <c r="D172" s="175" t="e">
        <f>VLOOKUP(PAProjects[[#This Row],[LINKING_CODE]],MasterTable[[Project Code and Name ]],1,FALSE)</f>
        <v>#N/A</v>
      </c>
      <c r="E172" s="175" t="s">
        <v>511</v>
      </c>
      <c r="F172" s="175" t="s">
        <v>890</v>
      </c>
      <c r="G172" s="175" t="s">
        <v>891</v>
      </c>
      <c r="H172" s="175" t="str">
        <f>VLOOKUP(I172,'Program Codes'!C:D,2,FALSE)</f>
        <v>01</v>
      </c>
      <c r="I172" s="175" t="s">
        <v>928</v>
      </c>
      <c r="J172" s="175" t="s">
        <v>905</v>
      </c>
      <c r="K172" s="175" t="s">
        <v>526</v>
      </c>
      <c r="L172" s="175" t="s">
        <v>1509</v>
      </c>
      <c r="M172" s="182">
        <v>42186</v>
      </c>
      <c r="N172" s="182">
        <v>44742</v>
      </c>
      <c r="O172" s="174">
        <v>12.6</v>
      </c>
      <c r="P172" s="174">
        <v>107.42</v>
      </c>
      <c r="Q172" s="174">
        <f t="shared" si="20"/>
        <v>120.02</v>
      </c>
      <c r="R172" s="174">
        <v>0</v>
      </c>
      <c r="S172" s="175">
        <v>0.3</v>
      </c>
      <c r="T172" s="175">
        <v>46.67</v>
      </c>
      <c r="U172" s="191">
        <f>PAProjects[[#This Row],[GOU 21/22]]+PAProjects[[#This Row],[DONOR 21/22]]</f>
        <v>46.97</v>
      </c>
      <c r="V172" s="175"/>
      <c r="W172" s="175"/>
      <c r="X172" s="191">
        <f>PAProjects[[#This Row],[GOU 22/23]]+PAProjects[[#This Row],[DONOR 22/23]]</f>
        <v>0</v>
      </c>
      <c r="Y172" s="175"/>
      <c r="Z172" s="175"/>
      <c r="AA172" s="175"/>
      <c r="AB172" s="175"/>
      <c r="AC172" s="175"/>
      <c r="AD172" s="191">
        <f>PAProjects[[#This Row],[GOU 24/25]]+PAProjects[[#This Row],[DONOR 24/25]]</f>
        <v>0</v>
      </c>
    </row>
    <row r="173" spans="1:30" ht="15" customHeight="1" x14ac:dyDescent="0.25">
      <c r="A173" s="180" t="s">
        <v>170</v>
      </c>
      <c r="B173" s="175" t="s">
        <v>1322</v>
      </c>
      <c r="C173" s="175" t="e">
        <f ca="1">PAProjects[[#This Row],[LINKING_CODE]]=_xlfn.CONCAT(PAProjects[[#This Row],[Project Code]]," ",PAProjects[[#This Row],[Project Name]])</f>
        <v>#NAME?</v>
      </c>
      <c r="D173" s="175" t="e">
        <f>VLOOKUP(PAProjects[[#This Row],[LINKING_CODE]],MasterTable[[Project Code and Name ]],1,FALSE)</f>
        <v>#N/A</v>
      </c>
      <c r="E173" s="175" t="s">
        <v>511</v>
      </c>
      <c r="F173" s="175" t="s">
        <v>890</v>
      </c>
      <c r="G173" s="175" t="s">
        <v>891</v>
      </c>
      <c r="H173" s="175" t="str">
        <f>VLOOKUP(I173,'Program Codes'!C:D,2,FALSE)</f>
        <v>01</v>
      </c>
      <c r="I173" s="175" t="s">
        <v>928</v>
      </c>
      <c r="J173" s="175" t="s">
        <v>907</v>
      </c>
      <c r="K173" s="175" t="s">
        <v>528</v>
      </c>
      <c r="L173" s="175" t="s">
        <v>1509</v>
      </c>
      <c r="M173" s="182">
        <v>42186</v>
      </c>
      <c r="N173" s="182">
        <v>44742</v>
      </c>
      <c r="O173" s="174">
        <v>49.7</v>
      </c>
      <c r="P173" s="174"/>
      <c r="Q173" s="174">
        <f t="shared" si="20"/>
        <v>49.7</v>
      </c>
      <c r="R173" s="174">
        <v>0</v>
      </c>
      <c r="S173" s="175">
        <v>7.34</v>
      </c>
      <c r="T173" s="175"/>
      <c r="U173" s="191">
        <f>PAProjects[[#This Row],[GOU 21/22]]+PAProjects[[#This Row],[DONOR 21/22]]</f>
        <v>7.34</v>
      </c>
      <c r="V173" s="175"/>
      <c r="W173" s="175"/>
      <c r="X173" s="191">
        <f>PAProjects[[#This Row],[GOU 22/23]]+PAProjects[[#This Row],[DONOR 22/23]]</f>
        <v>0</v>
      </c>
      <c r="Y173" s="175"/>
      <c r="Z173" s="175"/>
      <c r="AA173" s="175"/>
      <c r="AB173" s="175"/>
      <c r="AC173" s="175"/>
      <c r="AD173" s="191">
        <f>PAProjects[[#This Row],[GOU 24/25]]+PAProjects[[#This Row],[DONOR 24/25]]</f>
        <v>0</v>
      </c>
    </row>
    <row r="174" spans="1:30" ht="15" customHeight="1" x14ac:dyDescent="0.25">
      <c r="A174" s="180" t="s">
        <v>171</v>
      </c>
      <c r="B174" s="175" t="s">
        <v>1323</v>
      </c>
      <c r="C174" s="175" t="e">
        <f ca="1">PAProjects[[#This Row],[LINKING_CODE]]=_xlfn.CONCAT(PAProjects[[#This Row],[Project Code]]," ",PAProjects[[#This Row],[Project Name]])</f>
        <v>#NAME?</v>
      </c>
      <c r="D174" s="175" t="e">
        <f>VLOOKUP(PAProjects[[#This Row],[LINKING_CODE]],MasterTable[[Project Code and Name ]],1,FALSE)</f>
        <v>#N/A</v>
      </c>
      <c r="E174" s="175" t="s">
        <v>511</v>
      </c>
      <c r="F174" s="175" t="s">
        <v>890</v>
      </c>
      <c r="G174" s="175" t="s">
        <v>891</v>
      </c>
      <c r="H174" s="175" t="str">
        <f>VLOOKUP(I174,'Program Codes'!C:D,2,FALSE)</f>
        <v>01</v>
      </c>
      <c r="I174" s="175" t="s">
        <v>928</v>
      </c>
      <c r="J174" s="175" t="s">
        <v>908</v>
      </c>
      <c r="K174" s="175" t="s">
        <v>539</v>
      </c>
      <c r="L174" s="175" t="s">
        <v>1509</v>
      </c>
      <c r="M174" s="182">
        <v>42552</v>
      </c>
      <c r="N174" s="182">
        <v>44742</v>
      </c>
      <c r="O174" s="174">
        <v>19.649999999999999</v>
      </c>
      <c r="P174" s="174"/>
      <c r="Q174" s="174">
        <f t="shared" si="20"/>
        <v>19.649999999999999</v>
      </c>
      <c r="R174" s="174">
        <v>0</v>
      </c>
      <c r="S174" s="175">
        <v>3.9</v>
      </c>
      <c r="T174" s="175"/>
      <c r="U174" s="191">
        <f>PAProjects[[#This Row],[GOU 21/22]]+PAProjects[[#This Row],[DONOR 21/22]]</f>
        <v>3.9</v>
      </c>
      <c r="V174" s="175"/>
      <c r="W174" s="175"/>
      <c r="X174" s="191">
        <f>PAProjects[[#This Row],[GOU 22/23]]+PAProjects[[#This Row],[DONOR 22/23]]</f>
        <v>0</v>
      </c>
      <c r="Y174" s="175"/>
      <c r="Z174" s="175"/>
      <c r="AA174" s="175"/>
      <c r="AB174" s="175"/>
      <c r="AC174" s="175"/>
      <c r="AD174" s="191">
        <f>PAProjects[[#This Row],[GOU 24/25]]+PAProjects[[#This Row],[DONOR 24/25]]</f>
        <v>0</v>
      </c>
    </row>
    <row r="175" spans="1:30" ht="15" customHeight="1" x14ac:dyDescent="0.25">
      <c r="A175" s="180" t="s">
        <v>172</v>
      </c>
      <c r="B175" s="175" t="s">
        <v>1324</v>
      </c>
      <c r="C175" s="175" t="e">
        <f ca="1">PAProjects[[#This Row],[LINKING_CODE]]=_xlfn.CONCAT(PAProjects[[#This Row],[Project Code]]," ",PAProjects[[#This Row],[Project Name]])</f>
        <v>#NAME?</v>
      </c>
      <c r="D175" s="175" t="e">
        <f>VLOOKUP(PAProjects[[#This Row],[LINKING_CODE]],MasterTable[[Project Code and Name ]],1,FALSE)</f>
        <v>#N/A</v>
      </c>
      <c r="E175" s="175" t="s">
        <v>511</v>
      </c>
      <c r="F175" s="175" t="s">
        <v>890</v>
      </c>
      <c r="G175" s="175" t="s">
        <v>891</v>
      </c>
      <c r="H175" s="175" t="str">
        <f>VLOOKUP(I175,'Program Codes'!C:D,2,FALSE)</f>
        <v>01</v>
      </c>
      <c r="I175" s="175" t="s">
        <v>928</v>
      </c>
      <c r="J175" s="175" t="s">
        <v>909</v>
      </c>
      <c r="K175" s="175" t="s">
        <v>541</v>
      </c>
      <c r="L175" s="175" t="s">
        <v>1509</v>
      </c>
      <c r="M175" s="182">
        <v>42552</v>
      </c>
      <c r="N175" s="182">
        <v>44742</v>
      </c>
      <c r="O175" s="185">
        <v>5.3129999999999997</v>
      </c>
      <c r="P175" s="185">
        <v>11.91</v>
      </c>
      <c r="Q175" s="174">
        <f t="shared" si="20"/>
        <v>17.222999999999999</v>
      </c>
      <c r="R175" s="174">
        <v>0</v>
      </c>
      <c r="S175" s="175">
        <v>1.3</v>
      </c>
      <c r="T175" s="175"/>
      <c r="U175" s="191">
        <f>PAProjects[[#This Row],[GOU 21/22]]+PAProjects[[#This Row],[DONOR 21/22]]</f>
        <v>1.3</v>
      </c>
      <c r="V175" s="175"/>
      <c r="W175" s="175"/>
      <c r="X175" s="191">
        <f>PAProjects[[#This Row],[GOU 22/23]]+PAProjects[[#This Row],[DONOR 22/23]]</f>
        <v>0</v>
      </c>
      <c r="Y175" s="175"/>
      <c r="Z175" s="175"/>
      <c r="AA175" s="175"/>
      <c r="AB175" s="175"/>
      <c r="AC175" s="175"/>
      <c r="AD175" s="191">
        <f>PAProjects[[#This Row],[GOU 24/25]]+PAProjects[[#This Row],[DONOR 24/25]]</f>
        <v>0</v>
      </c>
    </row>
    <row r="176" spans="1:30" ht="15" customHeight="1" x14ac:dyDescent="0.25">
      <c r="A176" s="180" t="s">
        <v>173</v>
      </c>
      <c r="B176" s="175" t="s">
        <v>1325</v>
      </c>
      <c r="C176" s="175" t="e">
        <f ca="1">PAProjects[[#This Row],[LINKING_CODE]]=_xlfn.CONCAT(PAProjects[[#This Row],[Project Code]]," ",PAProjects[[#This Row],[Project Name]])</f>
        <v>#NAME?</v>
      </c>
      <c r="D176" s="175" t="e">
        <f>VLOOKUP(PAProjects[[#This Row],[LINKING_CODE]],MasterTable[[Project Code and Name ]],1,FALSE)</f>
        <v>#N/A</v>
      </c>
      <c r="E176" s="175" t="s">
        <v>511</v>
      </c>
      <c r="F176" s="175" t="s">
        <v>890</v>
      </c>
      <c r="G176" s="175" t="s">
        <v>891</v>
      </c>
      <c r="H176" s="175" t="str">
        <f>VLOOKUP(I176,'Program Codes'!C:D,2,FALSE)</f>
        <v>01</v>
      </c>
      <c r="I176" s="175" t="s">
        <v>928</v>
      </c>
      <c r="J176" s="175" t="s">
        <v>910</v>
      </c>
      <c r="K176" s="175" t="s">
        <v>532</v>
      </c>
      <c r="L176" s="175" t="s">
        <v>1509</v>
      </c>
      <c r="M176" s="182">
        <v>42552</v>
      </c>
      <c r="N176" s="182">
        <v>44742</v>
      </c>
      <c r="O176" s="185">
        <v>6.6</v>
      </c>
      <c r="P176" s="185">
        <v>91.22</v>
      </c>
      <c r="Q176" s="174">
        <f t="shared" si="20"/>
        <v>97.82</v>
      </c>
      <c r="R176" s="174">
        <v>0</v>
      </c>
      <c r="S176" s="175">
        <v>1.3</v>
      </c>
      <c r="T176" s="175"/>
      <c r="U176" s="191">
        <f>PAProjects[[#This Row],[GOU 21/22]]+PAProjects[[#This Row],[DONOR 21/22]]</f>
        <v>1.3</v>
      </c>
      <c r="V176" s="175"/>
      <c r="W176" s="175"/>
      <c r="X176" s="191">
        <f>PAProjects[[#This Row],[GOU 22/23]]+PAProjects[[#This Row],[DONOR 22/23]]</f>
        <v>0</v>
      </c>
      <c r="Y176" s="175"/>
      <c r="Z176" s="175"/>
      <c r="AA176" s="175"/>
      <c r="AB176" s="175"/>
      <c r="AC176" s="175"/>
      <c r="AD176" s="191">
        <f>PAProjects[[#This Row],[GOU 24/25]]+PAProjects[[#This Row],[DONOR 24/25]]</f>
        <v>0</v>
      </c>
    </row>
    <row r="177" spans="1:30" ht="15" customHeight="1" x14ac:dyDescent="0.25">
      <c r="A177" s="180" t="s">
        <v>174</v>
      </c>
      <c r="B177" s="175" t="s">
        <v>1326</v>
      </c>
      <c r="C177" s="175" t="e">
        <f ca="1">PAProjects[[#This Row],[LINKING_CODE]]=_xlfn.CONCAT(PAProjects[[#This Row],[Project Code]]," ",PAProjects[[#This Row],[Project Name]])</f>
        <v>#NAME?</v>
      </c>
      <c r="D177" s="175" t="e">
        <f>VLOOKUP(PAProjects[[#This Row],[LINKING_CODE]],MasterTable[[Project Code and Name ]],1,FALSE)</f>
        <v>#N/A</v>
      </c>
      <c r="E177" s="175" t="s">
        <v>511</v>
      </c>
      <c r="F177" s="175" t="s">
        <v>890</v>
      </c>
      <c r="G177" s="175" t="s">
        <v>891</v>
      </c>
      <c r="H177" s="175" t="str">
        <f>VLOOKUP(I177,'Program Codes'!C:D,2,FALSE)</f>
        <v>01</v>
      </c>
      <c r="I177" s="175" t="s">
        <v>928</v>
      </c>
      <c r="J177" s="175" t="s">
        <v>911</v>
      </c>
      <c r="K177" s="175" t="s">
        <v>530</v>
      </c>
      <c r="L177" s="175" t="s">
        <v>1509</v>
      </c>
      <c r="M177" s="182">
        <v>42917</v>
      </c>
      <c r="N177" s="182">
        <v>45107</v>
      </c>
      <c r="O177" s="185">
        <v>37.874000000000002</v>
      </c>
      <c r="P177" s="185">
        <v>368.35199999999998</v>
      </c>
      <c r="Q177" s="174">
        <f t="shared" si="20"/>
        <v>406.226</v>
      </c>
      <c r="R177" s="174">
        <v>0</v>
      </c>
      <c r="S177" s="175">
        <v>4.2</v>
      </c>
      <c r="T177" s="175">
        <v>21.9</v>
      </c>
      <c r="U177" s="191">
        <f>PAProjects[[#This Row],[GOU 21/22]]+PAProjects[[#This Row],[DONOR 21/22]]</f>
        <v>26.099999999999998</v>
      </c>
      <c r="V177" s="175">
        <v>4.2</v>
      </c>
      <c r="W177" s="175">
        <v>21.9</v>
      </c>
      <c r="X177" s="191">
        <f>PAProjects[[#This Row],[GOU 22/23]]+PAProjects[[#This Row],[DONOR 22/23]]</f>
        <v>26.099999999999998</v>
      </c>
      <c r="Y177" s="175"/>
      <c r="Z177" s="175"/>
      <c r="AA177" s="175"/>
      <c r="AB177" s="175"/>
      <c r="AC177" s="175"/>
      <c r="AD177" s="191">
        <f>PAProjects[[#This Row],[GOU 24/25]]+PAProjects[[#This Row],[DONOR 24/25]]</f>
        <v>0</v>
      </c>
    </row>
    <row r="178" spans="1:30" ht="15" customHeight="1" x14ac:dyDescent="0.25">
      <c r="A178" s="180" t="s">
        <v>175</v>
      </c>
      <c r="B178" s="175" t="s">
        <v>1327</v>
      </c>
      <c r="C178" s="175" t="e">
        <f ca="1">PAProjects[[#This Row],[LINKING_CODE]]=_xlfn.CONCAT(PAProjects[[#This Row],[Project Code]]," ",PAProjects[[#This Row],[Project Name]])</f>
        <v>#NAME?</v>
      </c>
      <c r="D178" s="175" t="e">
        <f>VLOOKUP(PAProjects[[#This Row],[LINKING_CODE]],MasterTable[[Project Code and Name ]],1,FALSE)</f>
        <v>#N/A</v>
      </c>
      <c r="E178" s="175" t="s">
        <v>511</v>
      </c>
      <c r="F178" s="175" t="s">
        <v>890</v>
      </c>
      <c r="G178" s="175" t="s">
        <v>891</v>
      </c>
      <c r="H178" s="175" t="str">
        <f>VLOOKUP(I178,'Program Codes'!C:D,2,FALSE)</f>
        <v>01</v>
      </c>
      <c r="I178" s="175" t="s">
        <v>928</v>
      </c>
      <c r="J178" s="175" t="s">
        <v>912</v>
      </c>
      <c r="K178" s="175" t="s">
        <v>543</v>
      </c>
      <c r="L178" s="175" t="s">
        <v>1509</v>
      </c>
      <c r="M178" s="182">
        <v>42917</v>
      </c>
      <c r="N178" s="182">
        <v>44742</v>
      </c>
      <c r="O178" s="185">
        <v>1.3169999999999999</v>
      </c>
      <c r="P178" s="185">
        <v>43.79</v>
      </c>
      <c r="Q178" s="174">
        <f t="shared" si="20"/>
        <v>45.106999999999999</v>
      </c>
      <c r="R178" s="174">
        <v>0</v>
      </c>
      <c r="S178" s="175">
        <v>0.72</v>
      </c>
      <c r="T178" s="175">
        <v>9.48</v>
      </c>
      <c r="U178" s="191">
        <f>PAProjects[[#This Row],[GOU 21/22]]+PAProjects[[#This Row],[DONOR 21/22]]</f>
        <v>10.200000000000001</v>
      </c>
      <c r="V178" s="175"/>
      <c r="W178" s="175"/>
      <c r="X178" s="191">
        <f>PAProjects[[#This Row],[GOU 22/23]]+PAProjects[[#This Row],[DONOR 22/23]]</f>
        <v>0</v>
      </c>
      <c r="Y178" s="175"/>
      <c r="Z178" s="175"/>
      <c r="AA178" s="175"/>
      <c r="AB178" s="175"/>
      <c r="AC178" s="175"/>
      <c r="AD178" s="191">
        <f>PAProjects[[#This Row],[GOU 24/25]]+PAProjects[[#This Row],[DONOR 24/25]]</f>
        <v>0</v>
      </c>
    </row>
    <row r="179" spans="1:30" ht="15" customHeight="1" x14ac:dyDescent="0.25">
      <c r="A179" s="180" t="s">
        <v>176</v>
      </c>
      <c r="B179" s="175" t="s">
        <v>1328</v>
      </c>
      <c r="C179" s="175" t="e">
        <f ca="1">PAProjects[[#This Row],[LINKING_CODE]]=_xlfn.CONCAT(PAProjects[[#This Row],[Project Code]]," ",PAProjects[[#This Row],[Project Name]])</f>
        <v>#NAME?</v>
      </c>
      <c r="D179" s="175" t="e">
        <f>VLOOKUP(PAProjects[[#This Row],[LINKING_CODE]],MasterTable[[Project Code and Name ]],1,FALSE)</f>
        <v>#N/A</v>
      </c>
      <c r="E179" s="175" t="s">
        <v>511</v>
      </c>
      <c r="F179" s="175" t="s">
        <v>890</v>
      </c>
      <c r="G179" s="175" t="s">
        <v>891</v>
      </c>
      <c r="H179" s="175" t="str">
        <f>VLOOKUP(I179,'Program Codes'!C:D,2,FALSE)</f>
        <v>01</v>
      </c>
      <c r="I179" s="175" t="s">
        <v>928</v>
      </c>
      <c r="J179" s="175" t="s">
        <v>913</v>
      </c>
      <c r="K179" s="175" t="s">
        <v>914</v>
      </c>
      <c r="L179" s="175" t="s">
        <v>1509</v>
      </c>
      <c r="M179" s="182">
        <v>43282</v>
      </c>
      <c r="N179" s="182">
        <v>45107</v>
      </c>
      <c r="O179" s="174">
        <v>80</v>
      </c>
      <c r="P179" s="174">
        <v>740</v>
      </c>
      <c r="Q179" s="174">
        <f t="shared" si="20"/>
        <v>820</v>
      </c>
      <c r="R179" s="174">
        <v>0</v>
      </c>
      <c r="S179" s="175">
        <v>16</v>
      </c>
      <c r="T179" s="175">
        <v>148</v>
      </c>
      <c r="U179" s="191">
        <f>PAProjects[[#This Row],[GOU 21/22]]+PAProjects[[#This Row],[DONOR 21/22]]</f>
        <v>164</v>
      </c>
      <c r="V179" s="175">
        <v>16</v>
      </c>
      <c r="W179" s="175">
        <v>148</v>
      </c>
      <c r="X179" s="191">
        <f>PAProjects[[#This Row],[GOU 22/23]]+PAProjects[[#This Row],[DONOR 22/23]]</f>
        <v>164</v>
      </c>
      <c r="Y179" s="175"/>
      <c r="Z179" s="175"/>
      <c r="AA179" s="175"/>
      <c r="AB179" s="175"/>
      <c r="AC179" s="175"/>
      <c r="AD179" s="191">
        <f>PAProjects[[#This Row],[GOU 24/25]]+PAProjects[[#This Row],[DONOR 24/25]]</f>
        <v>0</v>
      </c>
    </row>
    <row r="180" spans="1:30" ht="15" customHeight="1" x14ac:dyDescent="0.25">
      <c r="A180" s="180" t="s">
        <v>177</v>
      </c>
      <c r="B180" s="175" t="s">
        <v>1329</v>
      </c>
      <c r="C180" s="175" t="e">
        <f ca="1">PAProjects[[#This Row],[LINKING_CODE]]=_xlfn.CONCAT(PAProjects[[#This Row],[Project Code]]," ",PAProjects[[#This Row],[Project Name]])</f>
        <v>#NAME?</v>
      </c>
      <c r="D180" s="175" t="e">
        <f>VLOOKUP(PAProjects[[#This Row],[LINKING_CODE]],MasterTable[[Project Code and Name ]],1,FALSE)</f>
        <v>#N/A</v>
      </c>
      <c r="E180" s="175" t="s">
        <v>511</v>
      </c>
      <c r="F180" s="175" t="s">
        <v>890</v>
      </c>
      <c r="G180" s="175" t="s">
        <v>891</v>
      </c>
      <c r="H180" s="175" t="str">
        <f>VLOOKUP(I180,'Program Codes'!C:D,2,FALSE)</f>
        <v>01</v>
      </c>
      <c r="I180" s="175" t="s">
        <v>928</v>
      </c>
      <c r="J180" s="175" t="s">
        <v>916</v>
      </c>
      <c r="K180" s="175" t="s">
        <v>550</v>
      </c>
      <c r="L180" s="175" t="s">
        <v>1509</v>
      </c>
      <c r="M180" s="182">
        <v>44013</v>
      </c>
      <c r="N180" s="182">
        <v>45838</v>
      </c>
      <c r="O180" s="174">
        <v>44.44</v>
      </c>
      <c r="P180" s="174"/>
      <c r="Q180" s="174">
        <f t="shared" si="20"/>
        <v>44.44</v>
      </c>
      <c r="R180" s="174">
        <v>0</v>
      </c>
      <c r="S180" s="175">
        <v>8.8879999999999999</v>
      </c>
      <c r="T180" s="202"/>
      <c r="U180" s="191">
        <f>PAProjects[[#This Row],[GOU 21/22]]+PAProjects[[#This Row],[DONOR 21/22]]</f>
        <v>8.8879999999999999</v>
      </c>
      <c r="V180" s="175">
        <v>8.8879999999999999</v>
      </c>
      <c r="W180" s="175"/>
      <c r="X180" s="191">
        <f>PAProjects[[#This Row],[GOU 22/23]]+PAProjects[[#This Row],[DONOR 22/23]]</f>
        <v>8.8879999999999999</v>
      </c>
      <c r="Y180" s="175">
        <v>8.8879999999999999</v>
      </c>
      <c r="Z180" s="175"/>
      <c r="AA180" s="175">
        <f>Y180+Z180</f>
        <v>8.8879999999999999</v>
      </c>
      <c r="AB180" s="175">
        <v>8.8879999999999999</v>
      </c>
      <c r="AC180" s="175"/>
      <c r="AD180" s="202">
        <f>PAProjects[[#This Row],[GOU 24/25]]+PAProjects[[#This Row],[DONOR 24/25]]</f>
        <v>8.8879999999999999</v>
      </c>
    </row>
    <row r="181" spans="1:30" ht="15" customHeight="1" x14ac:dyDescent="0.25">
      <c r="A181" s="180" t="s">
        <v>178</v>
      </c>
      <c r="B181" s="175" t="s">
        <v>1330</v>
      </c>
      <c r="C181" s="175" t="e">
        <f ca="1">PAProjects[[#This Row],[LINKING_CODE]]=_xlfn.CONCAT(PAProjects[[#This Row],[Project Code]]," ",PAProjects[[#This Row],[Project Name]])</f>
        <v>#NAME?</v>
      </c>
      <c r="D181" s="175" t="e">
        <f>VLOOKUP(PAProjects[[#This Row],[LINKING_CODE]],MasterTable[[Project Code and Name ]],1,FALSE)</f>
        <v>#N/A</v>
      </c>
      <c r="E181" s="175" t="s">
        <v>511</v>
      </c>
      <c r="F181" s="175" t="s">
        <v>890</v>
      </c>
      <c r="G181" s="175" t="s">
        <v>891</v>
      </c>
      <c r="H181" s="175" t="str">
        <f>VLOOKUP(I181,'Program Codes'!C:D,2,FALSE)</f>
        <v>01</v>
      </c>
      <c r="I181" s="175" t="s">
        <v>928</v>
      </c>
      <c r="J181" s="175" t="s">
        <v>917</v>
      </c>
      <c r="K181" s="175" t="s">
        <v>918</v>
      </c>
      <c r="L181" s="175" t="s">
        <v>1509</v>
      </c>
      <c r="M181" s="182">
        <v>44013</v>
      </c>
      <c r="N181" s="182">
        <v>45838</v>
      </c>
      <c r="O181" s="174">
        <v>100</v>
      </c>
      <c r="P181" s="174"/>
      <c r="Q181" s="174">
        <f t="shared" si="20"/>
        <v>100</v>
      </c>
      <c r="R181" s="174">
        <v>0</v>
      </c>
      <c r="S181" s="175">
        <v>20</v>
      </c>
      <c r="T181" s="202"/>
      <c r="U181" s="191">
        <f>PAProjects[[#This Row],[GOU 21/22]]+PAProjects[[#This Row],[DONOR 21/22]]</f>
        <v>20</v>
      </c>
      <c r="V181" s="175">
        <v>20</v>
      </c>
      <c r="W181" s="175"/>
      <c r="X181" s="191">
        <f>PAProjects[[#This Row],[GOU 22/23]]+PAProjects[[#This Row],[DONOR 22/23]]</f>
        <v>20</v>
      </c>
      <c r="Y181" s="175">
        <v>20</v>
      </c>
      <c r="Z181" s="175"/>
      <c r="AA181" s="175">
        <f>Y181+Z181</f>
        <v>20</v>
      </c>
      <c r="AB181" s="175">
        <v>20</v>
      </c>
      <c r="AC181" s="175"/>
      <c r="AD181" s="202">
        <f>PAProjects[[#This Row],[GOU 24/25]]+PAProjects[[#This Row],[DONOR 24/25]]</f>
        <v>20</v>
      </c>
    </row>
    <row r="182" spans="1:30" ht="15" customHeight="1" x14ac:dyDescent="0.25">
      <c r="A182" s="180" t="s">
        <v>179</v>
      </c>
      <c r="B182" s="175" t="s">
        <v>1331</v>
      </c>
      <c r="C182" s="175" t="e">
        <f ca="1">PAProjects[[#This Row],[LINKING_CODE]]=_xlfn.CONCAT(PAProjects[[#This Row],[Project Code]]," ",PAProjects[[#This Row],[Project Name]])</f>
        <v>#NAME?</v>
      </c>
      <c r="D182" s="175" t="e">
        <f>VLOOKUP(PAProjects[[#This Row],[LINKING_CODE]],MasterTable[[Project Code and Name ]],1,FALSE)</f>
        <v>#N/A</v>
      </c>
      <c r="E182" s="175" t="s">
        <v>511</v>
      </c>
      <c r="F182" s="175" t="s">
        <v>890</v>
      </c>
      <c r="G182" s="175" t="s">
        <v>891</v>
      </c>
      <c r="H182" s="175" t="str">
        <f>VLOOKUP(I182,'Program Codes'!C:D,2,FALSE)</f>
        <v>01</v>
      </c>
      <c r="I182" s="175" t="s">
        <v>928</v>
      </c>
      <c r="J182" s="175" t="s">
        <v>919</v>
      </c>
      <c r="K182" s="175" t="s">
        <v>920</v>
      </c>
      <c r="L182" s="175" t="s">
        <v>1509</v>
      </c>
      <c r="M182" s="182">
        <v>44013</v>
      </c>
      <c r="N182" s="182">
        <v>45838</v>
      </c>
      <c r="O182" s="174">
        <v>600</v>
      </c>
      <c r="P182" s="174"/>
      <c r="Q182" s="174">
        <f t="shared" si="20"/>
        <v>600</v>
      </c>
      <c r="R182" s="174">
        <v>0</v>
      </c>
      <c r="S182" s="175">
        <v>120</v>
      </c>
      <c r="T182" s="202"/>
      <c r="U182" s="191">
        <f>PAProjects[[#This Row],[GOU 21/22]]+PAProjects[[#This Row],[DONOR 21/22]]</f>
        <v>120</v>
      </c>
      <c r="V182" s="175">
        <v>120</v>
      </c>
      <c r="W182" s="175"/>
      <c r="X182" s="191">
        <f>PAProjects[[#This Row],[GOU 22/23]]+PAProjects[[#This Row],[DONOR 22/23]]</f>
        <v>120</v>
      </c>
      <c r="Y182" s="175">
        <v>120</v>
      </c>
      <c r="Z182" s="175"/>
      <c r="AA182" s="175">
        <f>Y182+Z182</f>
        <v>120</v>
      </c>
      <c r="AB182" s="175">
        <v>120</v>
      </c>
      <c r="AC182" s="175"/>
      <c r="AD182" s="202">
        <f>PAProjects[[#This Row],[GOU 24/25]]+PAProjects[[#This Row],[DONOR 24/25]]</f>
        <v>120</v>
      </c>
    </row>
    <row r="183" spans="1:30" ht="15" customHeight="1" x14ac:dyDescent="0.25">
      <c r="A183" s="180" t="s">
        <v>180</v>
      </c>
      <c r="B183" s="175" t="s">
        <v>1332</v>
      </c>
      <c r="C183" s="175" t="e">
        <f ca="1">PAProjects[[#This Row],[LINKING_CODE]]=_xlfn.CONCAT(PAProjects[[#This Row],[Project Code]]," ",PAProjects[[#This Row],[Project Name]])</f>
        <v>#NAME?</v>
      </c>
      <c r="D183" s="175" t="e">
        <f>VLOOKUP(PAProjects[[#This Row],[LINKING_CODE]],MasterTable[[Project Code and Name ]],1,FALSE)</f>
        <v>#N/A</v>
      </c>
      <c r="E183" s="175" t="s">
        <v>511</v>
      </c>
      <c r="F183" s="175" t="s">
        <v>890</v>
      </c>
      <c r="G183" s="175" t="s">
        <v>125</v>
      </c>
      <c r="H183" s="175" t="str">
        <f>VLOOKUP(I183,'Program Codes'!C:D,2,FALSE)</f>
        <v>01</v>
      </c>
      <c r="I183" s="175" t="s">
        <v>928</v>
      </c>
      <c r="J183" s="175" t="s">
        <v>921</v>
      </c>
      <c r="K183" s="175" t="s">
        <v>922</v>
      </c>
      <c r="L183" s="175" t="s">
        <v>1509</v>
      </c>
      <c r="M183" s="182">
        <v>42186</v>
      </c>
      <c r="N183" s="182">
        <v>44742</v>
      </c>
      <c r="O183" s="174">
        <v>118</v>
      </c>
      <c r="P183" s="174"/>
      <c r="Q183" s="174">
        <f t="shared" ref="Q183:Q210" si="21">SUM(O183:P183)</f>
        <v>118</v>
      </c>
      <c r="R183" s="174">
        <v>0</v>
      </c>
      <c r="S183" s="175">
        <v>61.34</v>
      </c>
      <c r="T183" s="175"/>
      <c r="U183" s="191">
        <f>PAProjects[[#This Row],[GOU 21/22]]+PAProjects[[#This Row],[DONOR 21/22]]</f>
        <v>61.34</v>
      </c>
      <c r="V183" s="175"/>
      <c r="W183" s="175"/>
      <c r="X183" s="191">
        <f>PAProjects[[#This Row],[GOU 22/23]]+PAProjects[[#This Row],[DONOR 22/23]]</f>
        <v>0</v>
      </c>
      <c r="Y183" s="175"/>
      <c r="Z183" s="175"/>
      <c r="AA183" s="175">
        <f>Y183+Z183</f>
        <v>0</v>
      </c>
      <c r="AB183" s="175"/>
      <c r="AC183" s="175"/>
      <c r="AD183" s="191">
        <f>PAProjects[[#This Row],[GOU 24/25]]+PAProjects[[#This Row],[DONOR 24/25]]</f>
        <v>0</v>
      </c>
    </row>
    <row r="184" spans="1:30" ht="15" customHeight="1" x14ac:dyDescent="0.25">
      <c r="A184" s="180" t="s">
        <v>181</v>
      </c>
      <c r="B184" s="175" t="s">
        <v>1333</v>
      </c>
      <c r="C184" s="175" t="e">
        <f ca="1">PAProjects[[#This Row],[LINKING_CODE]]=_xlfn.CONCAT(PAProjects[[#This Row],[Project Code]]," ",PAProjects[[#This Row],[Project Name]])</f>
        <v>#NAME?</v>
      </c>
      <c r="D184" s="175" t="e">
        <f>VLOOKUP(PAProjects[[#This Row],[LINKING_CODE]],MasterTable[[Project Code and Name ]],1,FALSE)</f>
        <v>#N/A</v>
      </c>
      <c r="E184" s="175" t="s">
        <v>511</v>
      </c>
      <c r="F184" s="175" t="s">
        <v>890</v>
      </c>
      <c r="G184" s="175" t="s">
        <v>142</v>
      </c>
      <c r="H184" s="175" t="str">
        <f>VLOOKUP(I184,'Program Codes'!C:D,2,FALSE)</f>
        <v>01</v>
      </c>
      <c r="I184" s="175" t="s">
        <v>928</v>
      </c>
      <c r="J184" s="175" t="s">
        <v>923</v>
      </c>
      <c r="K184" s="175" t="s">
        <v>924</v>
      </c>
      <c r="L184" s="175" t="s">
        <v>1509</v>
      </c>
      <c r="M184" s="182">
        <v>44012</v>
      </c>
      <c r="N184" s="182">
        <v>45473</v>
      </c>
      <c r="O184" s="174">
        <v>2</v>
      </c>
      <c r="P184" s="174"/>
      <c r="Q184" s="174">
        <f t="shared" si="21"/>
        <v>2</v>
      </c>
      <c r="R184" s="174">
        <v>0</v>
      </c>
      <c r="S184" s="175">
        <v>1.3</v>
      </c>
      <c r="T184" s="175"/>
      <c r="U184" s="191">
        <f>PAProjects[[#This Row],[GOU 21/22]]+PAProjects[[#This Row],[DONOR 21/22]]</f>
        <v>1.3</v>
      </c>
      <c r="V184" s="175">
        <v>1.3</v>
      </c>
      <c r="W184" s="175"/>
      <c r="X184" s="191">
        <f>PAProjects[[#This Row],[GOU 22/23]]+PAProjects[[#This Row],[DONOR 22/23]]</f>
        <v>1.3</v>
      </c>
      <c r="Y184" s="175">
        <v>1.3</v>
      </c>
      <c r="Z184" s="175"/>
      <c r="AA184" s="175">
        <f>Y184+Z184</f>
        <v>1.3</v>
      </c>
      <c r="AB184" s="175"/>
      <c r="AC184" s="175"/>
      <c r="AD184" s="191">
        <f>PAProjects[[#This Row],[GOU 24/25]]+PAProjects[[#This Row],[DONOR 24/25]]</f>
        <v>0</v>
      </c>
    </row>
    <row r="185" spans="1:30" ht="15" customHeight="1" x14ac:dyDescent="0.25">
      <c r="A185" s="180" t="s">
        <v>182</v>
      </c>
      <c r="B185" s="175" t="s">
        <v>1334</v>
      </c>
      <c r="C185" s="175" t="e">
        <f ca="1">PAProjects[[#This Row],[LINKING_CODE]]=_xlfn.CONCAT(PAProjects[[#This Row],[Project Code]]," ",PAProjects[[#This Row],[Project Name]])</f>
        <v>#NAME?</v>
      </c>
      <c r="D185" s="175" t="e">
        <f>VLOOKUP(PAProjects[[#This Row],[LINKING_CODE]],MasterTable[[Project Code and Name ]],1,FALSE)</f>
        <v>#N/A</v>
      </c>
      <c r="E185" s="175" t="s">
        <v>527</v>
      </c>
      <c r="F185" s="175" t="s">
        <v>929</v>
      </c>
      <c r="G185" s="175" t="s">
        <v>145</v>
      </c>
      <c r="H185" s="175" t="str">
        <f>VLOOKUP(I185,'Program Codes'!C:D,2,FALSE)</f>
        <v>01</v>
      </c>
      <c r="I185" s="175" t="s">
        <v>928</v>
      </c>
      <c r="J185" s="175" t="s">
        <v>826</v>
      </c>
      <c r="K185" s="175" t="s">
        <v>930</v>
      </c>
      <c r="L185" s="175" t="s">
        <v>1509</v>
      </c>
      <c r="M185" s="182">
        <v>42552</v>
      </c>
      <c r="N185" s="182">
        <v>44742</v>
      </c>
      <c r="O185" s="183">
        <v>135.03</v>
      </c>
      <c r="P185" s="174"/>
      <c r="Q185" s="174">
        <f t="shared" si="21"/>
        <v>135.03</v>
      </c>
      <c r="R185" s="174">
        <v>0</v>
      </c>
      <c r="S185" s="175">
        <v>10.519</v>
      </c>
      <c r="T185" s="175"/>
      <c r="U185" s="191">
        <f>PAProjects[[#This Row],[GOU 21/22]]+PAProjects[[#This Row],[DONOR 21/22]]</f>
        <v>10.519</v>
      </c>
      <c r="V185" s="175"/>
      <c r="W185" s="175"/>
      <c r="X185" s="191">
        <f>PAProjects[[#This Row],[GOU 22/23]]+PAProjects[[#This Row],[DONOR 22/23]]</f>
        <v>0</v>
      </c>
      <c r="Y185" s="175"/>
      <c r="Z185" s="175"/>
      <c r="AA185" s="175"/>
      <c r="AB185" s="175"/>
      <c r="AC185" s="175"/>
      <c r="AD185" s="191">
        <f>PAProjects[[#This Row],[GOU 24/25]]+PAProjects[[#This Row],[DONOR 24/25]]</f>
        <v>0</v>
      </c>
    </row>
    <row r="186" spans="1:30" ht="15" customHeight="1" x14ac:dyDescent="0.25">
      <c r="A186" s="180" t="s">
        <v>183</v>
      </c>
      <c r="B186" s="175" t="s">
        <v>1335</v>
      </c>
      <c r="C186" s="175" t="e">
        <f ca="1">PAProjects[[#This Row],[LINKING_CODE]]=_xlfn.CONCAT(PAProjects[[#This Row],[Project Code]]," ",PAProjects[[#This Row],[Project Name]])</f>
        <v>#NAME?</v>
      </c>
      <c r="D186" s="175" t="e">
        <f>VLOOKUP(PAProjects[[#This Row],[LINKING_CODE]],MasterTable[[Project Code and Name ]],1,FALSE)</f>
        <v>#N/A</v>
      </c>
      <c r="E186" s="175" t="s">
        <v>531</v>
      </c>
      <c r="F186" s="175" t="s">
        <v>940</v>
      </c>
      <c r="G186" s="175" t="s">
        <v>941</v>
      </c>
      <c r="H186" s="175" t="str">
        <f>VLOOKUP(I186,'Program Codes'!C:D,2,FALSE)</f>
        <v>03</v>
      </c>
      <c r="I186" s="175" t="s">
        <v>943</v>
      </c>
      <c r="J186" s="175" t="s">
        <v>856</v>
      </c>
      <c r="K186" s="175" t="s">
        <v>942</v>
      </c>
      <c r="L186" s="175" t="s">
        <v>1509</v>
      </c>
      <c r="M186" s="188">
        <v>43647</v>
      </c>
      <c r="N186" s="182">
        <v>44742</v>
      </c>
      <c r="O186" s="174"/>
      <c r="P186" s="184">
        <v>271.03906677800001</v>
      </c>
      <c r="Q186" s="174">
        <f t="shared" si="21"/>
        <v>271.03906677800001</v>
      </c>
      <c r="R186" s="174">
        <v>0</v>
      </c>
      <c r="S186" s="175">
        <v>45.35</v>
      </c>
      <c r="T186" s="175">
        <v>24.14</v>
      </c>
      <c r="U186" s="191">
        <f>PAProjects[[#This Row],[GOU 21/22]]+PAProjects[[#This Row],[DONOR 21/22]]</f>
        <v>69.490000000000009</v>
      </c>
      <c r="V186" s="175">
        <v>45.35</v>
      </c>
      <c r="W186" s="175"/>
      <c r="X186" s="191">
        <f>PAProjects[[#This Row],[GOU 22/23]]+PAProjects[[#This Row],[DONOR 22/23]]</f>
        <v>45.35</v>
      </c>
      <c r="Y186" s="175"/>
      <c r="Z186" s="175"/>
      <c r="AA186" s="175"/>
      <c r="AB186" s="175"/>
      <c r="AC186" s="175"/>
      <c r="AD186" s="191">
        <f>PAProjects[[#This Row],[GOU 24/25]]+PAProjects[[#This Row],[DONOR 24/25]]</f>
        <v>0</v>
      </c>
    </row>
    <row r="187" spans="1:30" ht="15" customHeight="1" x14ac:dyDescent="0.25">
      <c r="A187" s="180" t="s">
        <v>184</v>
      </c>
      <c r="B187" s="175" t="s">
        <v>1336</v>
      </c>
      <c r="C187" s="175" t="e">
        <f ca="1">PAProjects[[#This Row],[LINKING_CODE]]=_xlfn.CONCAT(PAProjects[[#This Row],[Project Code]]," ",PAProjects[[#This Row],[Project Name]])</f>
        <v>#NAME?</v>
      </c>
      <c r="D187" s="175" t="e">
        <f>VLOOKUP(PAProjects[[#This Row],[LINKING_CODE]],MasterTable[[Project Code and Name ]],1,FALSE)</f>
        <v>#N/A</v>
      </c>
      <c r="E187" s="175" t="s">
        <v>516</v>
      </c>
      <c r="F187" s="175" t="s">
        <v>948</v>
      </c>
      <c r="G187" s="175" t="s">
        <v>126</v>
      </c>
      <c r="H187" s="175" t="str">
        <f>VLOOKUP(I187,'Program Codes'!C:D,2,FALSE)</f>
        <v>04</v>
      </c>
      <c r="I187" s="175" t="s">
        <v>947</v>
      </c>
      <c r="J187" s="175" t="s">
        <v>949</v>
      </c>
      <c r="K187" s="175" t="s">
        <v>950</v>
      </c>
      <c r="L187" s="175" t="s">
        <v>1509</v>
      </c>
      <c r="M187" s="182">
        <v>44013</v>
      </c>
      <c r="N187" s="182">
        <v>44742</v>
      </c>
      <c r="O187" s="183"/>
      <c r="P187" s="174">
        <v>277.5</v>
      </c>
      <c r="Q187" s="174">
        <f t="shared" si="21"/>
        <v>277.5</v>
      </c>
      <c r="R187" s="174">
        <v>0</v>
      </c>
      <c r="S187" s="175">
        <v>1.62</v>
      </c>
      <c r="T187" s="175">
        <v>74.77</v>
      </c>
      <c r="U187" s="191">
        <f>PAProjects[[#This Row],[GOU 21/22]]+PAProjects[[#This Row],[DONOR 21/22]]</f>
        <v>76.39</v>
      </c>
      <c r="V187" s="175"/>
      <c r="W187" s="175"/>
      <c r="X187" s="191">
        <f>PAProjects[[#This Row],[GOU 22/23]]+PAProjects[[#This Row],[DONOR 22/23]]</f>
        <v>0</v>
      </c>
      <c r="Y187" s="175"/>
      <c r="Z187" s="175"/>
      <c r="AA187" s="175">
        <f>Y187+Z187</f>
        <v>0</v>
      </c>
      <c r="AB187" s="175"/>
      <c r="AC187" s="175"/>
      <c r="AD187" s="202">
        <f>PAProjects[[#This Row],[GOU 24/25]]+PAProjects[[#This Row],[DONOR 24/25]]</f>
        <v>0</v>
      </c>
    </row>
    <row r="188" spans="1:30" ht="15" customHeight="1" x14ac:dyDescent="0.25">
      <c r="A188" s="180" t="s">
        <v>185</v>
      </c>
      <c r="B188" s="175" t="s">
        <v>1337</v>
      </c>
      <c r="C188" s="175" t="e">
        <f ca="1">PAProjects[[#This Row],[LINKING_CODE]]=_xlfn.CONCAT(PAProjects[[#This Row],[Project Code]]," ",PAProjects[[#This Row],[Project Name]])</f>
        <v>#NAME?</v>
      </c>
      <c r="D188" s="175" t="e">
        <f>VLOOKUP(PAProjects[[#This Row],[LINKING_CODE]],MasterTable[[Project Code and Name ]],1,FALSE)</f>
        <v>#N/A</v>
      </c>
      <c r="E188" s="175" t="s">
        <v>516</v>
      </c>
      <c r="F188" s="175" t="s">
        <v>948</v>
      </c>
      <c r="G188" s="175" t="s">
        <v>126</v>
      </c>
      <c r="H188" s="175" t="str">
        <f>VLOOKUP(I188,'Program Codes'!C:D,2,FALSE)</f>
        <v>04</v>
      </c>
      <c r="I188" s="175" t="s">
        <v>947</v>
      </c>
      <c r="J188" s="175" t="s">
        <v>951</v>
      </c>
      <c r="K188" s="175" t="s">
        <v>660</v>
      </c>
      <c r="L188" s="175" t="s">
        <v>1509</v>
      </c>
      <c r="M188" s="182">
        <v>44013</v>
      </c>
      <c r="N188" s="182">
        <v>45838</v>
      </c>
      <c r="O188" s="183"/>
      <c r="P188" s="174">
        <v>615.39</v>
      </c>
      <c r="Q188" s="174">
        <f t="shared" si="21"/>
        <v>615.39</v>
      </c>
      <c r="R188" s="174">
        <v>0</v>
      </c>
      <c r="S188" s="175">
        <v>4.46</v>
      </c>
      <c r="T188" s="175"/>
      <c r="U188" s="191">
        <f>PAProjects[[#This Row],[GOU 21/22]]+PAProjects[[#This Row],[DONOR 21/22]]</f>
        <v>4.46</v>
      </c>
      <c r="V188" s="175">
        <v>4.46</v>
      </c>
      <c r="W188" s="175"/>
      <c r="X188" s="191">
        <f>PAProjects[[#This Row],[GOU 22/23]]+PAProjects[[#This Row],[DONOR 22/23]]</f>
        <v>4.46</v>
      </c>
      <c r="Y188" s="175">
        <v>4.46</v>
      </c>
      <c r="Z188" s="175"/>
      <c r="AA188" s="175">
        <f>Y188+Z188</f>
        <v>4.46</v>
      </c>
      <c r="AB188" s="175">
        <v>4.46</v>
      </c>
      <c r="AC188" s="175"/>
      <c r="AD188" s="202">
        <f>PAProjects[[#This Row],[GOU 24/25]]+PAProjects[[#This Row],[DONOR 24/25]]</f>
        <v>4.46</v>
      </c>
    </row>
    <row r="189" spans="1:30" ht="15" customHeight="1" x14ac:dyDescent="0.25">
      <c r="A189" s="180" t="s">
        <v>186</v>
      </c>
      <c r="B189" s="175" t="s">
        <v>1338</v>
      </c>
      <c r="C189" s="175" t="e">
        <f ca="1">PAProjects[[#This Row],[LINKING_CODE]]=_xlfn.CONCAT(PAProjects[[#This Row],[Project Code]]," ",PAProjects[[#This Row],[Project Name]])</f>
        <v>#NAME?</v>
      </c>
      <c r="D189" s="175" t="e">
        <f>VLOOKUP(PAProjects[[#This Row],[LINKING_CODE]],MasterTable[[Project Code and Name ]],1,FALSE)</f>
        <v>#N/A</v>
      </c>
      <c r="E189" s="175" t="s">
        <v>525</v>
      </c>
      <c r="F189" s="175" t="s">
        <v>952</v>
      </c>
      <c r="G189" s="175" t="s">
        <v>32</v>
      </c>
      <c r="H189" s="175" t="str">
        <f>VLOOKUP(I189,'Program Codes'!C:D,2,FALSE)</f>
        <v>05</v>
      </c>
      <c r="I189" s="175" t="s">
        <v>953</v>
      </c>
      <c r="J189" s="175" t="s">
        <v>811</v>
      </c>
      <c r="K189" s="175" t="s">
        <v>812</v>
      </c>
      <c r="L189" s="175" t="s">
        <v>1509</v>
      </c>
      <c r="M189" s="182">
        <v>39630</v>
      </c>
      <c r="N189" s="182">
        <v>45838</v>
      </c>
      <c r="O189" s="183">
        <v>13100</v>
      </c>
      <c r="P189" s="174"/>
      <c r="Q189" s="174">
        <f t="shared" si="21"/>
        <v>13100</v>
      </c>
      <c r="R189" s="174">
        <v>0</v>
      </c>
      <c r="S189" s="194">
        <f>PAProjects[[#This Row],[G.O.U]]/4</f>
        <v>3275</v>
      </c>
      <c r="T189" s="175"/>
      <c r="U189" s="191">
        <f>PAProjects[[#This Row],[GOU 21/22]]+PAProjects[[#This Row],[DONOR 21/22]]</f>
        <v>3275</v>
      </c>
      <c r="V189" s="194">
        <v>3275</v>
      </c>
      <c r="W189" s="175"/>
      <c r="X189" s="191">
        <f>PAProjects[[#This Row],[GOU 22/23]]+PAProjects[[#This Row],[DONOR 22/23]]</f>
        <v>3275</v>
      </c>
      <c r="Y189" s="175">
        <v>3275</v>
      </c>
      <c r="Z189" s="175"/>
      <c r="AA189" s="175">
        <f>Y189+Z189</f>
        <v>3275</v>
      </c>
      <c r="AB189" s="175">
        <v>3275</v>
      </c>
      <c r="AC189" s="175"/>
      <c r="AD189" s="202">
        <f>PAProjects[[#This Row],[GOU 24/25]]+PAProjects[[#This Row],[DONOR 24/25]]</f>
        <v>3275</v>
      </c>
    </row>
    <row r="190" spans="1:30" ht="15" customHeight="1" x14ac:dyDescent="0.25">
      <c r="A190" s="180" t="s">
        <v>187</v>
      </c>
      <c r="B190" s="175" t="s">
        <v>1339</v>
      </c>
      <c r="C190" s="175" t="e">
        <f ca="1">PAProjects[[#This Row],[LINKING_CODE]]=_xlfn.CONCAT(PAProjects[[#This Row],[Project Code]]," ",PAProjects[[#This Row],[Project Name]])</f>
        <v>#NAME?</v>
      </c>
      <c r="D190" s="175" t="e">
        <f>VLOOKUP(PAProjects[[#This Row],[LINKING_CODE]],MasterTable[[Project Code and Name ]],1,FALSE)</f>
        <v>#N/A</v>
      </c>
      <c r="E190" s="175" t="s">
        <v>525</v>
      </c>
      <c r="F190" s="175" t="s">
        <v>952</v>
      </c>
      <c r="G190" s="175" t="s">
        <v>32</v>
      </c>
      <c r="H190" s="175" t="str">
        <f>VLOOKUP(I190,'Program Codes'!C:D,2,FALSE)</f>
        <v>05</v>
      </c>
      <c r="I190" s="175" t="s">
        <v>953</v>
      </c>
      <c r="J190" s="175" t="s">
        <v>814</v>
      </c>
      <c r="K190" s="175" t="s">
        <v>954</v>
      </c>
      <c r="L190" s="175" t="s">
        <v>1509</v>
      </c>
      <c r="M190" s="182">
        <v>39995</v>
      </c>
      <c r="N190" s="182">
        <v>44742</v>
      </c>
      <c r="O190" s="183"/>
      <c r="P190" s="184">
        <v>2172</v>
      </c>
      <c r="Q190" s="174">
        <f t="shared" si="21"/>
        <v>2172</v>
      </c>
      <c r="R190" s="174">
        <v>0</v>
      </c>
      <c r="S190" s="175"/>
      <c r="T190" s="175">
        <v>362.93299999999999</v>
      </c>
      <c r="U190" s="191">
        <f>PAProjects[[#This Row],[GOU 21/22]]+PAProjects[[#This Row],[DONOR 21/22]]</f>
        <v>362.93299999999999</v>
      </c>
      <c r="V190" s="175"/>
      <c r="W190" s="175"/>
      <c r="X190" s="191">
        <f>PAProjects[[#This Row],[GOU 22/23]]+PAProjects[[#This Row],[DONOR 22/23]]</f>
        <v>0</v>
      </c>
      <c r="Y190" s="175"/>
      <c r="Z190" s="175"/>
      <c r="AA190" s="175"/>
      <c r="AB190" s="175"/>
      <c r="AC190" s="175"/>
      <c r="AD190" s="191">
        <f>PAProjects[[#This Row],[GOU 24/25]]+PAProjects[[#This Row],[DONOR 24/25]]</f>
        <v>0</v>
      </c>
    </row>
    <row r="191" spans="1:30" ht="15" customHeight="1" x14ac:dyDescent="0.25">
      <c r="A191" s="180" t="s">
        <v>188</v>
      </c>
      <c r="B191" s="175" t="s">
        <v>1340</v>
      </c>
      <c r="C191" s="175" t="e">
        <f ca="1">PAProjects[[#This Row],[LINKING_CODE]]=_xlfn.CONCAT(PAProjects[[#This Row],[Project Code]]," ",PAProjects[[#This Row],[Project Name]])</f>
        <v>#NAME?</v>
      </c>
      <c r="D191" s="175" t="e">
        <f>VLOOKUP(PAProjects[[#This Row],[LINKING_CODE]],MasterTable[[Project Code and Name ]],1,FALSE)</f>
        <v>#N/A</v>
      </c>
      <c r="E191" s="175" t="s">
        <v>525</v>
      </c>
      <c r="F191" s="175" t="s">
        <v>952</v>
      </c>
      <c r="G191" s="175" t="s">
        <v>32</v>
      </c>
      <c r="H191" s="175" t="str">
        <f>VLOOKUP(I191,'Program Codes'!C:D,2,FALSE)</f>
        <v>05</v>
      </c>
      <c r="I191" s="203" t="s">
        <v>953</v>
      </c>
      <c r="J191" s="203" t="s">
        <v>955</v>
      </c>
      <c r="K191" s="175" t="s">
        <v>956</v>
      </c>
      <c r="L191" s="175" t="s">
        <v>1509</v>
      </c>
      <c r="M191" s="182">
        <v>38899</v>
      </c>
      <c r="N191" s="182">
        <v>44742</v>
      </c>
      <c r="O191" s="183">
        <v>62.720999999999997</v>
      </c>
      <c r="P191" s="184"/>
      <c r="Q191" s="174">
        <f t="shared" si="21"/>
        <v>62.720999999999997</v>
      </c>
      <c r="R191" s="174">
        <v>0</v>
      </c>
      <c r="S191" s="175">
        <v>11.8</v>
      </c>
      <c r="T191" s="175"/>
      <c r="U191" s="191">
        <f>PAProjects[[#This Row],[GOU 21/22]]+PAProjects[[#This Row],[DONOR 21/22]]</f>
        <v>11.8</v>
      </c>
      <c r="V191" s="175">
        <v>17.178000000000001</v>
      </c>
      <c r="W191" s="175"/>
      <c r="X191" s="191">
        <f>PAProjects[[#This Row],[GOU 22/23]]+PAProjects[[#This Row],[DONOR 22/23]]</f>
        <v>17.178000000000001</v>
      </c>
      <c r="Y191" s="175">
        <v>21.443999999999999</v>
      </c>
      <c r="Z191" s="175"/>
      <c r="AA191" s="175">
        <f>Y191+Z191</f>
        <v>21.443999999999999</v>
      </c>
      <c r="AB191" s="175">
        <v>12.298</v>
      </c>
      <c r="AC191" s="175"/>
      <c r="AD191" s="191">
        <f>PAProjects[[#This Row],[GOU 24/25]]+PAProjects[[#This Row],[DONOR 24/25]]</f>
        <v>12.298</v>
      </c>
    </row>
    <row r="192" spans="1:30" ht="15" customHeight="1" x14ac:dyDescent="0.25">
      <c r="A192" s="180" t="s">
        <v>189</v>
      </c>
      <c r="B192" s="175" t="s">
        <v>1341</v>
      </c>
      <c r="C192" s="175" t="e">
        <f ca="1">PAProjects[[#This Row],[LINKING_CODE]]=_xlfn.CONCAT(PAProjects[[#This Row],[Project Code]]," ",PAProjects[[#This Row],[Project Name]])</f>
        <v>#NAME?</v>
      </c>
      <c r="D192" s="175" t="e">
        <f>VLOOKUP(PAProjects[[#This Row],[LINKING_CODE]],MasterTable[[Project Code and Name ]],1,FALSE)</f>
        <v>#N/A</v>
      </c>
      <c r="E192" s="175" t="s">
        <v>527</v>
      </c>
      <c r="F192" s="175" t="s">
        <v>929</v>
      </c>
      <c r="G192" s="175" t="s">
        <v>101</v>
      </c>
      <c r="H192" s="175" t="str">
        <f>VLOOKUP(I192,'Program Codes'!C:D,2,FALSE)</f>
        <v>05</v>
      </c>
      <c r="I192" s="175" t="s">
        <v>953</v>
      </c>
      <c r="J192" s="175" t="s">
        <v>829</v>
      </c>
      <c r="K192" s="175" t="s">
        <v>959</v>
      </c>
      <c r="L192" s="175" t="s">
        <v>1509</v>
      </c>
      <c r="M192" s="182">
        <v>44012</v>
      </c>
      <c r="N192" s="182">
        <v>44742</v>
      </c>
      <c r="O192" s="198">
        <v>20</v>
      </c>
      <c r="P192" s="174"/>
      <c r="Q192" s="174">
        <f t="shared" si="21"/>
        <v>20</v>
      </c>
      <c r="R192" s="174">
        <v>0</v>
      </c>
      <c r="S192" s="175">
        <v>20</v>
      </c>
      <c r="T192" s="175"/>
      <c r="U192" s="191">
        <f>PAProjects[[#This Row],[GOU 21/22]]+PAProjects[[#This Row],[DONOR 21/22]]</f>
        <v>20</v>
      </c>
      <c r="V192" s="175"/>
      <c r="W192" s="175"/>
      <c r="X192" s="191">
        <f>PAProjects[[#This Row],[GOU 22/23]]+PAProjects[[#This Row],[DONOR 22/23]]</f>
        <v>0</v>
      </c>
      <c r="Y192" s="175"/>
      <c r="Z192" s="175"/>
      <c r="AA192" s="175"/>
      <c r="AB192" s="175"/>
      <c r="AC192" s="175"/>
      <c r="AD192" s="191">
        <f>PAProjects[[#This Row],[GOU 24/25]]+PAProjects[[#This Row],[DONOR 24/25]]</f>
        <v>0</v>
      </c>
    </row>
    <row r="193" spans="1:30" ht="15" customHeight="1" x14ac:dyDescent="0.25">
      <c r="A193" s="180" t="s">
        <v>190</v>
      </c>
      <c r="B193" s="175" t="s">
        <v>1342</v>
      </c>
      <c r="C193" s="175" t="e">
        <f ca="1">PAProjects[[#This Row],[LINKING_CODE]]=_xlfn.CONCAT(PAProjects[[#This Row],[Project Code]]," ",PAProjects[[#This Row],[Project Name]])</f>
        <v>#NAME?</v>
      </c>
      <c r="D193" s="175" t="e">
        <f>VLOOKUP(PAProjects[[#This Row],[LINKING_CODE]],MasterTable[[Project Code and Name ]],1,FALSE)</f>
        <v>#N/A</v>
      </c>
      <c r="E193" s="175" t="s">
        <v>527</v>
      </c>
      <c r="F193" s="175" t="s">
        <v>929</v>
      </c>
      <c r="G193" s="175" t="s">
        <v>133</v>
      </c>
      <c r="H193" s="175" t="str">
        <f>VLOOKUP(I193,'Program Codes'!C:D,2,FALSE)</f>
        <v>05</v>
      </c>
      <c r="I193" s="175" t="s">
        <v>953</v>
      </c>
      <c r="J193" s="175" t="s">
        <v>819</v>
      </c>
      <c r="K193" s="175" t="s">
        <v>820</v>
      </c>
      <c r="L193" s="175" t="s">
        <v>1509</v>
      </c>
      <c r="M193" s="182">
        <v>42917</v>
      </c>
      <c r="N193" s="182">
        <v>44742</v>
      </c>
      <c r="O193" s="183">
        <v>47.256999999999998</v>
      </c>
      <c r="P193" s="174"/>
      <c r="Q193" s="174">
        <f t="shared" si="21"/>
        <v>47.256999999999998</v>
      </c>
      <c r="R193" s="174">
        <v>0</v>
      </c>
      <c r="S193" s="175">
        <v>0.6</v>
      </c>
      <c r="T193" s="175"/>
      <c r="U193" s="191">
        <f>PAProjects[[#This Row],[GOU 21/22]]+PAProjects[[#This Row],[DONOR 21/22]]</f>
        <v>0.6</v>
      </c>
      <c r="V193" s="175"/>
      <c r="W193" s="175"/>
      <c r="X193" s="191">
        <f>PAProjects[[#This Row],[GOU 22/23]]+PAProjects[[#This Row],[DONOR 22/23]]</f>
        <v>0</v>
      </c>
      <c r="Y193" s="175"/>
      <c r="Z193" s="175"/>
      <c r="AA193" s="175"/>
      <c r="AB193" s="175"/>
      <c r="AC193" s="175"/>
      <c r="AD193" s="191">
        <f>PAProjects[[#This Row],[GOU 24/25]]+PAProjects[[#This Row],[DONOR 24/25]]</f>
        <v>0</v>
      </c>
    </row>
    <row r="194" spans="1:30" ht="15" customHeight="1" x14ac:dyDescent="0.25">
      <c r="A194" s="180" t="s">
        <v>191</v>
      </c>
      <c r="B194" s="175" t="s">
        <v>1343</v>
      </c>
      <c r="C194" s="175" t="e">
        <f ca="1">PAProjects[[#This Row],[LINKING_CODE]]=_xlfn.CONCAT(PAProjects[[#This Row],[Project Code]]," ",PAProjects[[#This Row],[Project Name]])</f>
        <v>#NAME?</v>
      </c>
      <c r="D194" s="175" t="e">
        <f>VLOOKUP(PAProjects[[#This Row],[LINKING_CODE]],MasterTable[[Project Code and Name ]],1,FALSE)</f>
        <v>#N/A</v>
      </c>
      <c r="E194" s="175" t="s">
        <v>527</v>
      </c>
      <c r="F194" s="175" t="s">
        <v>929</v>
      </c>
      <c r="G194" s="175" t="s">
        <v>144</v>
      </c>
      <c r="H194" s="175" t="str">
        <f>VLOOKUP(I194,'Program Codes'!C:D,2,FALSE)</f>
        <v>05</v>
      </c>
      <c r="I194" s="175" t="s">
        <v>953</v>
      </c>
      <c r="J194" s="175" t="s">
        <v>821</v>
      </c>
      <c r="K194" s="175" t="s">
        <v>822</v>
      </c>
      <c r="L194" s="175" t="s">
        <v>1509</v>
      </c>
      <c r="M194" s="182">
        <v>40360</v>
      </c>
      <c r="N194" s="182">
        <v>44742</v>
      </c>
      <c r="O194" s="183">
        <v>1033.6669999999999</v>
      </c>
      <c r="P194" s="174"/>
      <c r="Q194" s="174">
        <f t="shared" si="21"/>
        <v>1033.6669999999999</v>
      </c>
      <c r="R194" s="174">
        <v>0</v>
      </c>
      <c r="S194" s="175">
        <v>55.8</v>
      </c>
      <c r="T194" s="175"/>
      <c r="U194" s="191">
        <f>PAProjects[[#This Row],[GOU 21/22]]+PAProjects[[#This Row],[DONOR 21/22]]</f>
        <v>55.8</v>
      </c>
      <c r="V194" s="175"/>
      <c r="W194" s="175"/>
      <c r="X194" s="191">
        <f>PAProjects[[#This Row],[GOU 22/23]]+PAProjects[[#This Row],[DONOR 22/23]]</f>
        <v>0</v>
      </c>
      <c r="Y194" s="175"/>
      <c r="Z194" s="175"/>
      <c r="AA194" s="175"/>
      <c r="AB194" s="175"/>
      <c r="AC194" s="175"/>
      <c r="AD194" s="191">
        <f>PAProjects[[#This Row],[GOU 24/25]]+PAProjects[[#This Row],[DONOR 24/25]]</f>
        <v>0</v>
      </c>
    </row>
    <row r="195" spans="1:30" ht="15" customHeight="1" x14ac:dyDescent="0.25">
      <c r="A195" s="180" t="s">
        <v>192</v>
      </c>
      <c r="B195" s="175" t="s">
        <v>1344</v>
      </c>
      <c r="C195" s="175" t="e">
        <f ca="1">PAProjects[[#This Row],[LINKING_CODE]]=_xlfn.CONCAT(PAProjects[[#This Row],[Project Code]]," ",PAProjects[[#This Row],[Project Name]])</f>
        <v>#NAME?</v>
      </c>
      <c r="D195" s="175" t="e">
        <f>VLOOKUP(PAProjects[[#This Row],[LINKING_CODE]],MasterTable[[Project Code and Name ]],1,FALSE)</f>
        <v>#N/A</v>
      </c>
      <c r="E195" s="175" t="s">
        <v>519</v>
      </c>
      <c r="F195" s="175" t="s">
        <v>960</v>
      </c>
      <c r="G195" s="175" t="s">
        <v>128</v>
      </c>
      <c r="H195" s="175" t="str">
        <f>VLOOKUP(I195,'Program Codes'!C:D,2,FALSE)</f>
        <v>06</v>
      </c>
      <c r="I195" s="175" t="s">
        <v>962</v>
      </c>
      <c r="J195" s="175" t="s">
        <v>673</v>
      </c>
      <c r="K195" s="175" t="s">
        <v>674</v>
      </c>
      <c r="L195" s="175" t="s">
        <v>1509</v>
      </c>
      <c r="M195" s="182">
        <v>42186</v>
      </c>
      <c r="N195" s="182">
        <v>44742</v>
      </c>
      <c r="O195" s="183">
        <v>37.143000000000001</v>
      </c>
      <c r="P195" s="174"/>
      <c r="Q195" s="174">
        <f t="shared" si="21"/>
        <v>37.143000000000001</v>
      </c>
      <c r="R195" s="174">
        <v>0</v>
      </c>
      <c r="S195" s="175">
        <v>11.23</v>
      </c>
      <c r="T195" s="175"/>
      <c r="U195" s="191">
        <f>PAProjects[[#This Row],[GOU 21/22]]+PAProjects[[#This Row],[DONOR 21/22]]</f>
        <v>11.23</v>
      </c>
      <c r="V195" s="175"/>
      <c r="W195" s="175"/>
      <c r="X195" s="191">
        <f>PAProjects[[#This Row],[GOU 22/23]]+PAProjects[[#This Row],[DONOR 22/23]]</f>
        <v>0</v>
      </c>
      <c r="Y195" s="175"/>
      <c r="Z195" s="175"/>
      <c r="AA195" s="175">
        <f t="shared" ref="AA195:AA206" si="22">Y195+Z195</f>
        <v>0</v>
      </c>
      <c r="AB195" s="175"/>
      <c r="AC195" s="175"/>
      <c r="AD195" s="191">
        <f>PAProjects[[#This Row],[GOU 24/25]]+PAProjects[[#This Row],[DONOR 24/25]]</f>
        <v>0</v>
      </c>
    </row>
    <row r="196" spans="1:30" ht="15" customHeight="1" x14ac:dyDescent="0.25">
      <c r="A196" s="180" t="s">
        <v>193</v>
      </c>
      <c r="B196" s="175" t="s">
        <v>1345</v>
      </c>
      <c r="C196" s="175" t="e">
        <f ca="1">PAProjects[[#This Row],[LINKING_CODE]]=_xlfn.CONCAT(PAProjects[[#This Row],[Project Code]]," ",PAProjects[[#This Row],[Project Name]])</f>
        <v>#NAME?</v>
      </c>
      <c r="D196" s="175" t="e">
        <f>VLOOKUP(PAProjects[[#This Row],[LINKING_CODE]],MasterTable[[Project Code and Name ]],1,FALSE)</f>
        <v>#N/A</v>
      </c>
      <c r="E196" s="175" t="s">
        <v>519</v>
      </c>
      <c r="F196" s="175" t="s">
        <v>960</v>
      </c>
      <c r="G196" s="175" t="s">
        <v>301</v>
      </c>
      <c r="H196" s="175" t="str">
        <f>VLOOKUP(I196,'Program Codes'!C:D,2,FALSE)</f>
        <v>06</v>
      </c>
      <c r="I196" s="175" t="s">
        <v>962</v>
      </c>
      <c r="J196" s="175" t="s">
        <v>676</v>
      </c>
      <c r="K196" s="175" t="s">
        <v>974</v>
      </c>
      <c r="L196" s="175" t="s">
        <v>1509</v>
      </c>
      <c r="M196" s="182">
        <v>42186</v>
      </c>
      <c r="N196" s="182">
        <v>44742</v>
      </c>
      <c r="O196" s="174">
        <v>57.779672497</v>
      </c>
      <c r="P196" s="174"/>
      <c r="Q196" s="174">
        <f t="shared" si="21"/>
        <v>57.779672497</v>
      </c>
      <c r="R196" s="174">
        <v>0</v>
      </c>
      <c r="S196" s="175">
        <v>6.85</v>
      </c>
      <c r="T196" s="175"/>
      <c r="U196" s="191">
        <f>PAProjects[[#This Row],[GOU 21/22]]+PAProjects[[#This Row],[DONOR 21/22]]</f>
        <v>6.85</v>
      </c>
      <c r="V196" s="175"/>
      <c r="W196" s="175"/>
      <c r="X196" s="191">
        <f>PAProjects[[#This Row],[GOU 22/23]]+PAProjects[[#This Row],[DONOR 22/23]]</f>
        <v>0</v>
      </c>
      <c r="Y196" s="175"/>
      <c r="Z196" s="175"/>
      <c r="AA196" s="175">
        <f t="shared" si="22"/>
        <v>0</v>
      </c>
      <c r="AB196" s="175"/>
      <c r="AC196" s="175"/>
      <c r="AD196" s="191">
        <f>PAProjects[[#This Row],[GOU 24/25]]+PAProjects[[#This Row],[DONOR 24/25]]</f>
        <v>0</v>
      </c>
    </row>
    <row r="197" spans="1:30" ht="15" customHeight="1" x14ac:dyDescent="0.25">
      <c r="A197" s="180" t="s">
        <v>194</v>
      </c>
      <c r="B197" s="175" t="s">
        <v>1346</v>
      </c>
      <c r="C197" s="175" t="e">
        <f ca="1">PAProjects[[#This Row],[LINKING_CODE]]=_xlfn.CONCAT(PAProjects[[#This Row],[Project Code]]," ",PAProjects[[#This Row],[Project Name]])</f>
        <v>#NAME?</v>
      </c>
      <c r="D197" s="175" t="e">
        <f>VLOOKUP(PAProjects[[#This Row],[LINKING_CODE]],MasterTable[[Project Code and Name ]],1,FALSE)</f>
        <v>#N/A</v>
      </c>
      <c r="E197" s="175" t="s">
        <v>519</v>
      </c>
      <c r="F197" s="175" t="s">
        <v>960</v>
      </c>
      <c r="G197" s="175" t="s">
        <v>303</v>
      </c>
      <c r="H197" s="175" t="str">
        <f>VLOOKUP(I197,'Program Codes'!C:D,2,FALSE)</f>
        <v>06</v>
      </c>
      <c r="I197" s="175" t="s">
        <v>962</v>
      </c>
      <c r="J197" s="175" t="s">
        <v>677</v>
      </c>
      <c r="K197" s="175" t="s">
        <v>678</v>
      </c>
      <c r="L197" s="175" t="s">
        <v>1509</v>
      </c>
      <c r="M197" s="182">
        <v>42186</v>
      </c>
      <c r="N197" s="182">
        <v>44742</v>
      </c>
      <c r="O197" s="174">
        <v>28</v>
      </c>
      <c r="P197" s="174"/>
      <c r="Q197" s="174">
        <f t="shared" si="21"/>
        <v>28</v>
      </c>
      <c r="R197" s="174">
        <v>0</v>
      </c>
      <c r="S197" s="175">
        <v>120.2</v>
      </c>
      <c r="T197" s="175"/>
      <c r="U197" s="191">
        <f>PAProjects[[#This Row],[GOU 21/22]]+PAProjects[[#This Row],[DONOR 21/22]]</f>
        <v>120.2</v>
      </c>
      <c r="V197" s="175"/>
      <c r="W197" s="175"/>
      <c r="X197" s="191">
        <f>PAProjects[[#This Row],[GOU 22/23]]+PAProjects[[#This Row],[DONOR 22/23]]</f>
        <v>0</v>
      </c>
      <c r="Y197" s="175"/>
      <c r="Z197" s="175"/>
      <c r="AA197" s="175">
        <f t="shared" si="22"/>
        <v>0</v>
      </c>
      <c r="AB197" s="175"/>
      <c r="AC197" s="175"/>
      <c r="AD197" s="191">
        <f>PAProjects[[#This Row],[GOU 24/25]]+PAProjects[[#This Row],[DONOR 24/25]]</f>
        <v>0</v>
      </c>
    </row>
    <row r="198" spans="1:30" ht="15" customHeight="1" x14ac:dyDescent="0.25">
      <c r="A198" s="180" t="s">
        <v>195</v>
      </c>
      <c r="B198" s="175" t="s">
        <v>1347</v>
      </c>
      <c r="C198" s="175" t="e">
        <f ca="1">PAProjects[[#This Row],[LINKING_CODE]]=_xlfn.CONCAT(PAProjects[[#This Row],[Project Code]]," ",PAProjects[[#This Row],[Project Name]])</f>
        <v>#NAME?</v>
      </c>
      <c r="D198" s="175" t="e">
        <f>VLOOKUP(PAProjects[[#This Row],[LINKING_CODE]],MasterTable[[Project Code and Name ]],1,FALSE)</f>
        <v>#N/A</v>
      </c>
      <c r="E198" s="175" t="s">
        <v>520</v>
      </c>
      <c r="F198" s="175" t="s">
        <v>975</v>
      </c>
      <c r="G198" s="175" t="s">
        <v>114</v>
      </c>
      <c r="H198" s="175" t="str">
        <f>VLOOKUP(I198,'Program Codes'!C:D,2,FALSE)</f>
        <v>06</v>
      </c>
      <c r="I198" s="175" t="s">
        <v>962</v>
      </c>
      <c r="J198" s="175" t="s">
        <v>703</v>
      </c>
      <c r="K198" s="175" t="s">
        <v>704</v>
      </c>
      <c r="L198" s="175" t="s">
        <v>1509</v>
      </c>
      <c r="M198" s="182">
        <v>40360</v>
      </c>
      <c r="N198" s="182">
        <v>44742</v>
      </c>
      <c r="O198" s="183">
        <v>78.599000000000004</v>
      </c>
      <c r="P198" s="174"/>
      <c r="Q198" s="174">
        <f t="shared" si="21"/>
        <v>78.599000000000004</v>
      </c>
      <c r="R198" s="174">
        <v>0</v>
      </c>
      <c r="S198" s="175">
        <v>10.609</v>
      </c>
      <c r="T198" s="175"/>
      <c r="U198" s="191">
        <f>PAProjects[[#This Row],[GOU 21/22]]+PAProjects[[#This Row],[DONOR 21/22]]</f>
        <v>10.609</v>
      </c>
      <c r="V198" s="175"/>
      <c r="W198" s="175"/>
      <c r="X198" s="191">
        <f>PAProjects[[#This Row],[GOU 22/23]]+PAProjects[[#This Row],[DONOR 22/23]]</f>
        <v>0</v>
      </c>
      <c r="Y198" s="175"/>
      <c r="Z198" s="175"/>
      <c r="AA198" s="175">
        <f t="shared" si="22"/>
        <v>0</v>
      </c>
      <c r="AB198" s="175"/>
      <c r="AC198" s="175"/>
      <c r="AD198" s="191">
        <f>PAProjects[[#This Row],[GOU 24/25]]+PAProjects[[#This Row],[DONOR 24/25]]</f>
        <v>0</v>
      </c>
    </row>
    <row r="199" spans="1:30" ht="15" customHeight="1" x14ac:dyDescent="0.25">
      <c r="A199" s="180" t="s">
        <v>196</v>
      </c>
      <c r="B199" s="175" t="s">
        <v>1348</v>
      </c>
      <c r="C199" s="175" t="e">
        <f ca="1">PAProjects[[#This Row],[LINKING_CODE]]=_xlfn.CONCAT(PAProjects[[#This Row],[Project Code]]," ",PAProjects[[#This Row],[Project Name]])</f>
        <v>#NAME?</v>
      </c>
      <c r="D199" s="175" t="e">
        <f>VLOOKUP(PAProjects[[#This Row],[LINKING_CODE]],MasterTable[[Project Code and Name ]],1,FALSE)</f>
        <v>#N/A</v>
      </c>
      <c r="E199" s="175" t="s">
        <v>520</v>
      </c>
      <c r="F199" s="175" t="s">
        <v>975</v>
      </c>
      <c r="G199" s="175" t="s">
        <v>114</v>
      </c>
      <c r="H199" s="175" t="str">
        <f>VLOOKUP(I199,'Program Codes'!C:D,2,FALSE)</f>
        <v>06</v>
      </c>
      <c r="I199" s="175" t="s">
        <v>962</v>
      </c>
      <c r="J199" s="175" t="s">
        <v>705</v>
      </c>
      <c r="K199" s="175" t="s">
        <v>706</v>
      </c>
      <c r="L199" s="175" t="s">
        <v>1509</v>
      </c>
      <c r="M199" s="182">
        <v>42186</v>
      </c>
      <c r="N199" s="182">
        <v>44742</v>
      </c>
      <c r="O199" s="183">
        <v>10.8</v>
      </c>
      <c r="P199" s="184">
        <v>108.509</v>
      </c>
      <c r="Q199" s="174">
        <f t="shared" si="21"/>
        <v>119.309</v>
      </c>
      <c r="R199" s="174">
        <v>0</v>
      </c>
      <c r="S199" s="175">
        <v>1.98</v>
      </c>
      <c r="T199" s="175">
        <v>57.28</v>
      </c>
      <c r="U199" s="191">
        <f>PAProjects[[#This Row],[GOU 21/22]]+PAProjects[[#This Row],[DONOR 21/22]]</f>
        <v>59.26</v>
      </c>
      <c r="V199" s="175"/>
      <c r="W199" s="175"/>
      <c r="X199" s="191">
        <f>PAProjects[[#This Row],[GOU 22/23]]+PAProjects[[#This Row],[DONOR 22/23]]</f>
        <v>0</v>
      </c>
      <c r="Y199" s="175"/>
      <c r="Z199" s="175"/>
      <c r="AA199" s="175">
        <f t="shared" si="22"/>
        <v>0</v>
      </c>
      <c r="AB199" s="175"/>
      <c r="AC199" s="175"/>
      <c r="AD199" s="191">
        <f>PAProjects[[#This Row],[GOU 24/25]]+PAProjects[[#This Row],[DONOR 24/25]]</f>
        <v>0</v>
      </c>
    </row>
    <row r="200" spans="1:30" ht="15" customHeight="1" x14ac:dyDescent="0.25">
      <c r="A200" s="180" t="s">
        <v>197</v>
      </c>
      <c r="B200" s="175" t="s">
        <v>1349</v>
      </c>
      <c r="C200" s="175" t="e">
        <f ca="1">PAProjects[[#This Row],[LINKING_CODE]]=_xlfn.CONCAT(PAProjects[[#This Row],[Project Code]]," ",PAProjects[[#This Row],[Project Name]])</f>
        <v>#NAME?</v>
      </c>
      <c r="D200" s="175" t="e">
        <f>VLOOKUP(PAProjects[[#This Row],[LINKING_CODE]],MasterTable[[Project Code and Name ]],1,FALSE)</f>
        <v>#N/A</v>
      </c>
      <c r="E200" s="175" t="s">
        <v>520</v>
      </c>
      <c r="F200" s="175" t="s">
        <v>975</v>
      </c>
      <c r="G200" s="175" t="s">
        <v>114</v>
      </c>
      <c r="H200" s="175" t="str">
        <f>VLOOKUP(I200,'Program Codes'!C:D,2,FALSE)</f>
        <v>06</v>
      </c>
      <c r="I200" s="175" t="s">
        <v>962</v>
      </c>
      <c r="J200" s="175" t="s">
        <v>714</v>
      </c>
      <c r="K200" s="175" t="s">
        <v>715</v>
      </c>
      <c r="L200" s="175" t="s">
        <v>1509</v>
      </c>
      <c r="M200" s="182">
        <v>43647</v>
      </c>
      <c r="N200" s="182">
        <v>44742</v>
      </c>
      <c r="O200" s="183">
        <v>23</v>
      </c>
      <c r="P200" s="174"/>
      <c r="Q200" s="174">
        <f t="shared" si="21"/>
        <v>23</v>
      </c>
      <c r="R200" s="174">
        <v>0</v>
      </c>
      <c r="S200" s="175">
        <v>0.3</v>
      </c>
      <c r="T200" s="175"/>
      <c r="U200" s="191">
        <f>PAProjects[[#This Row],[GOU 21/22]]+PAProjects[[#This Row],[DONOR 21/22]]</f>
        <v>0.3</v>
      </c>
      <c r="V200" s="175"/>
      <c r="W200" s="175"/>
      <c r="X200" s="191">
        <f>PAProjects[[#This Row],[GOU 22/23]]+PAProjects[[#This Row],[DONOR 22/23]]</f>
        <v>0</v>
      </c>
      <c r="Y200" s="175"/>
      <c r="Z200" s="175"/>
      <c r="AA200" s="175">
        <f t="shared" si="22"/>
        <v>0</v>
      </c>
      <c r="AB200" s="175"/>
      <c r="AC200" s="175"/>
      <c r="AD200" s="191">
        <f>PAProjects[[#This Row],[GOU 24/25]]+PAProjects[[#This Row],[DONOR 24/25]]</f>
        <v>0</v>
      </c>
    </row>
    <row r="201" spans="1:30" ht="15" customHeight="1" x14ac:dyDescent="0.25">
      <c r="A201" s="180" t="s">
        <v>198</v>
      </c>
      <c r="B201" s="175" t="s">
        <v>1350</v>
      </c>
      <c r="C201" s="175" t="e">
        <f ca="1">PAProjects[[#This Row],[LINKING_CODE]]=_xlfn.CONCAT(PAProjects[[#This Row],[Project Code]]," ",PAProjects[[#This Row],[Project Name]])</f>
        <v>#NAME?</v>
      </c>
      <c r="D201" s="175" t="e">
        <f>VLOOKUP(PAProjects[[#This Row],[LINKING_CODE]],MasterTable[[Project Code and Name ]],1,FALSE)</f>
        <v>#N/A</v>
      </c>
      <c r="E201" s="175" t="s">
        <v>520</v>
      </c>
      <c r="F201" s="175" t="s">
        <v>975</v>
      </c>
      <c r="G201" s="175" t="s">
        <v>115</v>
      </c>
      <c r="H201" s="175" t="str">
        <f>VLOOKUP(I201,'Program Codes'!C:D,2,FALSE)</f>
        <v>06</v>
      </c>
      <c r="I201" s="175" t="s">
        <v>962</v>
      </c>
      <c r="J201" s="175" t="s">
        <v>712</v>
      </c>
      <c r="K201" s="175" t="s">
        <v>713</v>
      </c>
      <c r="L201" s="175" t="s">
        <v>1509</v>
      </c>
      <c r="M201" s="182">
        <v>43647</v>
      </c>
      <c r="N201" s="182">
        <v>44742</v>
      </c>
      <c r="O201" s="183">
        <v>232</v>
      </c>
      <c r="P201" s="174"/>
      <c r="Q201" s="174">
        <f t="shared" si="21"/>
        <v>232</v>
      </c>
      <c r="R201" s="174">
        <v>0</v>
      </c>
      <c r="S201" s="175">
        <v>0.15</v>
      </c>
      <c r="T201" s="175"/>
      <c r="U201" s="191">
        <f>PAProjects[[#This Row],[GOU 21/22]]+PAProjects[[#This Row],[DONOR 21/22]]</f>
        <v>0.15</v>
      </c>
      <c r="V201" s="175"/>
      <c r="W201" s="175"/>
      <c r="X201" s="191">
        <f>PAProjects[[#This Row],[GOU 22/23]]+PAProjects[[#This Row],[DONOR 22/23]]</f>
        <v>0</v>
      </c>
      <c r="Y201" s="175"/>
      <c r="Z201" s="175"/>
      <c r="AA201" s="175">
        <f t="shared" si="22"/>
        <v>0</v>
      </c>
      <c r="AB201" s="175"/>
      <c r="AC201" s="175"/>
      <c r="AD201" s="191">
        <f>PAProjects[[#This Row],[GOU 24/25]]+PAProjects[[#This Row],[DONOR 24/25]]</f>
        <v>0</v>
      </c>
    </row>
    <row r="202" spans="1:30" ht="15" customHeight="1" x14ac:dyDescent="0.25">
      <c r="A202" s="180" t="s">
        <v>199</v>
      </c>
      <c r="B202" s="175" t="s">
        <v>1351</v>
      </c>
      <c r="C202" s="175" t="e">
        <f ca="1">PAProjects[[#This Row],[LINKING_CODE]]=_xlfn.CONCAT(PAProjects[[#This Row],[Project Code]]," ",PAProjects[[#This Row],[Project Name]])</f>
        <v>#NAME?</v>
      </c>
      <c r="D202" s="175" t="e">
        <f>VLOOKUP(PAProjects[[#This Row],[LINKING_CODE]],MasterTable[[Project Code and Name ]],1,FALSE)</f>
        <v>#N/A</v>
      </c>
      <c r="E202" s="175" t="s">
        <v>520</v>
      </c>
      <c r="F202" s="175" t="s">
        <v>975</v>
      </c>
      <c r="G202" s="175" t="s">
        <v>304</v>
      </c>
      <c r="H202" s="175" t="str">
        <f>VLOOKUP(I202,'Program Codes'!C:D,2,FALSE)</f>
        <v>06</v>
      </c>
      <c r="I202" s="175" t="s">
        <v>962</v>
      </c>
      <c r="J202" s="175" t="s">
        <v>711</v>
      </c>
      <c r="K202" s="175" t="s">
        <v>988</v>
      </c>
      <c r="L202" s="175" t="s">
        <v>1509</v>
      </c>
      <c r="M202" s="182">
        <v>42917</v>
      </c>
      <c r="N202" s="182">
        <v>44742</v>
      </c>
      <c r="O202" s="183">
        <v>20.05</v>
      </c>
      <c r="P202" s="174"/>
      <c r="Q202" s="174">
        <f t="shared" si="21"/>
        <v>20.05</v>
      </c>
      <c r="R202" s="174">
        <v>0</v>
      </c>
      <c r="S202" s="175">
        <v>2.1</v>
      </c>
      <c r="T202" s="175"/>
      <c r="U202" s="191">
        <f>PAProjects[[#This Row],[GOU 21/22]]+PAProjects[[#This Row],[DONOR 21/22]]</f>
        <v>2.1</v>
      </c>
      <c r="V202" s="175"/>
      <c r="W202" s="175"/>
      <c r="X202" s="191">
        <f>PAProjects[[#This Row],[GOU 22/23]]+PAProjects[[#This Row],[DONOR 22/23]]</f>
        <v>0</v>
      </c>
      <c r="Y202" s="175"/>
      <c r="Z202" s="175"/>
      <c r="AA202" s="175">
        <f t="shared" si="22"/>
        <v>0</v>
      </c>
      <c r="AB202" s="175"/>
      <c r="AC202" s="175"/>
      <c r="AD202" s="191">
        <f>PAProjects[[#This Row],[GOU 24/25]]+PAProjects[[#This Row],[DONOR 24/25]]</f>
        <v>0</v>
      </c>
    </row>
    <row r="203" spans="1:30" ht="15" customHeight="1" x14ac:dyDescent="0.25">
      <c r="A203" s="180" t="s">
        <v>200</v>
      </c>
      <c r="B203" s="175" t="s">
        <v>1352</v>
      </c>
      <c r="C203" s="175" t="e">
        <f ca="1">PAProjects[[#This Row],[LINKING_CODE]]=_xlfn.CONCAT(PAProjects[[#This Row],[Project Code]]," ",PAProjects[[#This Row],[Project Name]])</f>
        <v>#NAME?</v>
      </c>
      <c r="D203" s="175" t="e">
        <f>VLOOKUP(PAProjects[[#This Row],[LINKING_CODE]],MasterTable[[Project Code and Name ]],1,FALSE)</f>
        <v>#N/A</v>
      </c>
      <c r="E203" s="175" t="s">
        <v>524</v>
      </c>
      <c r="F203" s="175" t="s">
        <v>990</v>
      </c>
      <c r="G203" s="175" t="s">
        <v>67</v>
      </c>
      <c r="H203" s="175" t="str">
        <f>VLOOKUP(I203,'Program Codes'!C:D,2,FALSE)</f>
        <v>06</v>
      </c>
      <c r="I203" s="175" t="s">
        <v>962</v>
      </c>
      <c r="J203" s="175" t="s">
        <v>805</v>
      </c>
      <c r="K203" s="175" t="s">
        <v>806</v>
      </c>
      <c r="L203" s="175" t="s">
        <v>1509</v>
      </c>
      <c r="M203" s="182">
        <v>42917</v>
      </c>
      <c r="N203" s="182">
        <v>44742</v>
      </c>
      <c r="O203" s="183">
        <v>24.105</v>
      </c>
      <c r="P203" s="174"/>
      <c r="Q203" s="174">
        <f t="shared" si="21"/>
        <v>24.105</v>
      </c>
      <c r="R203" s="174">
        <v>0</v>
      </c>
      <c r="S203" s="175">
        <v>1</v>
      </c>
      <c r="T203" s="175"/>
      <c r="U203" s="191">
        <f>PAProjects[[#This Row],[GOU 21/22]]+PAProjects[[#This Row],[DONOR 21/22]]</f>
        <v>1</v>
      </c>
      <c r="V203" s="175"/>
      <c r="W203" s="175"/>
      <c r="X203" s="191">
        <f>PAProjects[[#This Row],[GOU 22/23]]+PAProjects[[#This Row],[DONOR 22/23]]</f>
        <v>0</v>
      </c>
      <c r="Y203" s="175"/>
      <c r="Z203" s="175"/>
      <c r="AA203" s="175">
        <f t="shared" si="22"/>
        <v>0</v>
      </c>
      <c r="AB203" s="175"/>
      <c r="AC203" s="175"/>
      <c r="AD203" s="191">
        <f>PAProjects[[#This Row],[GOU 24/25]]+PAProjects[[#This Row],[DONOR 24/25]]</f>
        <v>0</v>
      </c>
    </row>
    <row r="204" spans="1:30" ht="15" customHeight="1" x14ac:dyDescent="0.25">
      <c r="A204" s="180" t="s">
        <v>201</v>
      </c>
      <c r="B204" s="175" t="s">
        <v>1353</v>
      </c>
      <c r="C204" s="175" t="e">
        <f ca="1">PAProjects[[#This Row],[LINKING_CODE]]=_xlfn.CONCAT(PAProjects[[#This Row],[Project Code]]," ",PAProjects[[#This Row],[Project Name]])</f>
        <v>#NAME?</v>
      </c>
      <c r="D204" s="175" t="e">
        <f>VLOOKUP(PAProjects[[#This Row],[LINKING_CODE]],MasterTable[[Project Code and Name ]],1,FALSE)</f>
        <v>#N/A</v>
      </c>
      <c r="E204" s="175" t="s">
        <v>524</v>
      </c>
      <c r="F204" s="175" t="s">
        <v>990</v>
      </c>
      <c r="G204" s="175" t="s">
        <v>67</v>
      </c>
      <c r="H204" s="175" t="str">
        <f>VLOOKUP(I204,'Program Codes'!C:D,2,FALSE)</f>
        <v>06</v>
      </c>
      <c r="I204" s="175" t="s">
        <v>962</v>
      </c>
      <c r="J204" s="175" t="s">
        <v>807</v>
      </c>
      <c r="K204" s="175" t="s">
        <v>992</v>
      </c>
      <c r="L204" s="175" t="s">
        <v>1509</v>
      </c>
      <c r="M204" s="182">
        <v>43282</v>
      </c>
      <c r="N204" s="182">
        <v>44742</v>
      </c>
      <c r="O204" s="183"/>
      <c r="P204" s="184">
        <v>149</v>
      </c>
      <c r="Q204" s="174">
        <f t="shared" si="21"/>
        <v>149</v>
      </c>
      <c r="R204" s="174">
        <v>0</v>
      </c>
      <c r="S204" s="175"/>
      <c r="T204" s="175"/>
      <c r="U204" s="191">
        <f>PAProjects[[#This Row],[GOU 21/22]]+PAProjects[[#This Row],[DONOR 21/22]]</f>
        <v>0</v>
      </c>
      <c r="V204" s="175"/>
      <c r="W204" s="175"/>
      <c r="X204" s="191">
        <f>PAProjects[[#This Row],[GOU 22/23]]+PAProjects[[#This Row],[DONOR 22/23]]</f>
        <v>0</v>
      </c>
      <c r="Y204" s="175"/>
      <c r="Z204" s="175"/>
      <c r="AA204" s="175">
        <f t="shared" si="22"/>
        <v>0</v>
      </c>
      <c r="AB204" s="175"/>
      <c r="AC204" s="175"/>
      <c r="AD204" s="191">
        <f>PAProjects[[#This Row],[GOU 24/25]]+PAProjects[[#This Row],[DONOR 24/25]]</f>
        <v>0</v>
      </c>
    </row>
    <row r="205" spans="1:30" ht="15" customHeight="1" x14ac:dyDescent="0.25">
      <c r="A205" s="180" t="s">
        <v>202</v>
      </c>
      <c r="B205" s="175" t="s">
        <v>1354</v>
      </c>
      <c r="C205" s="175" t="e">
        <f ca="1">PAProjects[[#This Row],[LINKING_CODE]]=_xlfn.CONCAT(PAProjects[[#This Row],[Project Code]]," ",PAProjects[[#This Row],[Project Name]])</f>
        <v>#NAME?</v>
      </c>
      <c r="D205" s="175" t="e">
        <f>VLOOKUP(PAProjects[[#This Row],[LINKING_CODE]],MasterTable[[Project Code and Name ]],1,FALSE)</f>
        <v>#N/A</v>
      </c>
      <c r="E205" s="175" t="s">
        <v>524</v>
      </c>
      <c r="F205" s="175" t="s">
        <v>990</v>
      </c>
      <c r="G205" s="175" t="s">
        <v>67</v>
      </c>
      <c r="H205" s="175" t="str">
        <f>VLOOKUP(I205,'Program Codes'!C:D,2,FALSE)</f>
        <v>06</v>
      </c>
      <c r="I205" s="175" t="s">
        <v>962</v>
      </c>
      <c r="J205" s="175" t="s">
        <v>994</v>
      </c>
      <c r="K205" s="175" t="s">
        <v>995</v>
      </c>
      <c r="L205" s="175" t="s">
        <v>1509</v>
      </c>
      <c r="M205" s="182">
        <v>43647</v>
      </c>
      <c r="N205" s="182">
        <v>44742</v>
      </c>
      <c r="O205" s="183">
        <v>514.74</v>
      </c>
      <c r="P205" s="174"/>
      <c r="Q205" s="174">
        <f t="shared" si="21"/>
        <v>514.74</v>
      </c>
      <c r="R205" s="174">
        <v>0</v>
      </c>
      <c r="S205" s="175"/>
      <c r="T205" s="175"/>
      <c r="U205" s="191">
        <f>PAProjects[[#This Row],[GOU 21/22]]+PAProjects[[#This Row],[DONOR 21/22]]</f>
        <v>0</v>
      </c>
      <c r="V205" s="175"/>
      <c r="W205" s="175"/>
      <c r="X205" s="191">
        <f>PAProjects[[#This Row],[GOU 22/23]]+PAProjects[[#This Row],[DONOR 22/23]]</f>
        <v>0</v>
      </c>
      <c r="Y205" s="175"/>
      <c r="Z205" s="175"/>
      <c r="AA205" s="175">
        <f t="shared" si="22"/>
        <v>0</v>
      </c>
      <c r="AB205" s="175"/>
      <c r="AC205" s="175"/>
      <c r="AD205" s="191">
        <f>PAProjects[[#This Row],[GOU 24/25]]+PAProjects[[#This Row],[DONOR 24/25]]</f>
        <v>0</v>
      </c>
    </row>
    <row r="206" spans="1:30" ht="15" customHeight="1" x14ac:dyDescent="0.25">
      <c r="A206" s="180" t="s">
        <v>203</v>
      </c>
      <c r="B206" s="175" t="s">
        <v>1355</v>
      </c>
      <c r="C206" s="175" t="e">
        <f ca="1">PAProjects[[#This Row],[LINKING_CODE]]=_xlfn.CONCAT(PAProjects[[#This Row],[Project Code]]," ",PAProjects[[#This Row],[Project Name]])</f>
        <v>#NAME?</v>
      </c>
      <c r="D206" s="175" t="e">
        <f>VLOOKUP(PAProjects[[#This Row],[LINKING_CODE]],MasterTable[[Project Code and Name ]],1,FALSE)</f>
        <v>#N/A</v>
      </c>
      <c r="E206" s="175" t="s">
        <v>515</v>
      </c>
      <c r="F206" s="175" t="s">
        <v>944</v>
      </c>
      <c r="G206" s="175" t="s">
        <v>122</v>
      </c>
      <c r="H206" s="175" t="str">
        <f>VLOOKUP(I206,'Program Codes'!C:D,2,FALSE)</f>
        <v>08</v>
      </c>
      <c r="I206" s="175" t="s">
        <v>1007</v>
      </c>
      <c r="J206" s="175" t="s">
        <v>1082</v>
      </c>
      <c r="K206" s="175" t="s">
        <v>654</v>
      </c>
      <c r="L206" s="175" t="s">
        <v>1509</v>
      </c>
      <c r="M206" s="182">
        <v>44013</v>
      </c>
      <c r="N206" s="182">
        <v>45838</v>
      </c>
      <c r="O206" s="174"/>
      <c r="P206" s="174">
        <v>1075</v>
      </c>
      <c r="Q206" s="174">
        <f t="shared" si="21"/>
        <v>1075</v>
      </c>
      <c r="R206" s="174">
        <v>0</v>
      </c>
      <c r="S206" s="175">
        <v>13.16</v>
      </c>
      <c r="T206" s="175">
        <v>95.3</v>
      </c>
      <c r="U206" s="191">
        <f>PAProjects[[#This Row],[GOU 21/22]]+PAProjects[[#This Row],[DONOR 21/22]]</f>
        <v>108.46</v>
      </c>
      <c r="V206" s="175">
        <v>13.16</v>
      </c>
      <c r="W206" s="175">
        <v>95.3</v>
      </c>
      <c r="X206" s="191">
        <f>PAProjects[[#This Row],[GOU 22/23]]+PAProjects[[#This Row],[DONOR 22/23]]</f>
        <v>108.46</v>
      </c>
      <c r="Y206" s="175">
        <v>13.16</v>
      </c>
      <c r="Z206" s="175">
        <v>95.3</v>
      </c>
      <c r="AA206" s="175">
        <f t="shared" si="22"/>
        <v>108.46</v>
      </c>
      <c r="AB206" s="175">
        <v>13.16</v>
      </c>
      <c r="AC206" s="175">
        <v>95.3</v>
      </c>
      <c r="AD206" s="202">
        <f>PAProjects[[#This Row],[GOU 24/25]]+PAProjects[[#This Row],[DONOR 24/25]]</f>
        <v>108.46</v>
      </c>
    </row>
    <row r="207" spans="1:30" ht="15" customHeight="1" x14ac:dyDescent="0.25">
      <c r="A207" s="180" t="s">
        <v>204</v>
      </c>
      <c r="B207" s="175" t="s">
        <v>1356</v>
      </c>
      <c r="C207" s="175" t="e">
        <f ca="1">PAProjects[[#This Row],[LINKING_CODE]]=_xlfn.CONCAT(PAProjects[[#This Row],[Project Code]]," ",PAProjects[[#This Row],[Project Name]])</f>
        <v>#NAME?</v>
      </c>
      <c r="D207" s="175" t="e">
        <f>VLOOKUP(PAProjects[[#This Row],[LINKING_CODE]],MasterTable[[Project Code and Name ]],1,FALSE)</f>
        <v>#N/A</v>
      </c>
      <c r="E207" s="175" t="s">
        <v>527</v>
      </c>
      <c r="F207" s="175" t="s">
        <v>929</v>
      </c>
      <c r="G207" s="175" t="s">
        <v>145</v>
      </c>
      <c r="H207" s="175" t="str">
        <f>VLOOKUP(I207,'Program Codes'!C:D,2,FALSE)</f>
        <v>09</v>
      </c>
      <c r="I207" s="175" t="s">
        <v>1088</v>
      </c>
      <c r="J207" s="175" t="s">
        <v>827</v>
      </c>
      <c r="K207" s="175" t="s">
        <v>828</v>
      </c>
      <c r="L207" s="175" t="s">
        <v>1509</v>
      </c>
      <c r="M207" s="182">
        <v>42917</v>
      </c>
      <c r="N207" s="182">
        <v>44742</v>
      </c>
      <c r="O207" s="183">
        <v>32.718904000000002</v>
      </c>
      <c r="P207" s="174"/>
      <c r="Q207" s="174">
        <f t="shared" si="21"/>
        <v>32.718904000000002</v>
      </c>
      <c r="R207" s="174">
        <v>0</v>
      </c>
      <c r="S207" s="175">
        <v>4.82</v>
      </c>
      <c r="T207" s="175"/>
      <c r="U207" s="191">
        <f>PAProjects[[#This Row],[GOU 21/22]]+PAProjects[[#This Row],[DONOR 21/22]]</f>
        <v>4.82</v>
      </c>
      <c r="V207" s="175"/>
      <c r="W207" s="175"/>
      <c r="X207" s="191">
        <f>PAProjects[[#This Row],[GOU 22/23]]+PAProjects[[#This Row],[DONOR 22/23]]</f>
        <v>0</v>
      </c>
      <c r="Y207" s="175"/>
      <c r="Z207" s="175"/>
      <c r="AA207" s="175"/>
      <c r="AB207" s="175"/>
      <c r="AC207" s="175"/>
      <c r="AD207" s="191">
        <f>PAProjects[[#This Row],[GOU 24/25]]+PAProjects[[#This Row],[DONOR 24/25]]</f>
        <v>0</v>
      </c>
    </row>
    <row r="208" spans="1:30" ht="15" customHeight="1" x14ac:dyDescent="0.25">
      <c r="A208" s="180" t="s">
        <v>205</v>
      </c>
      <c r="B208" s="175" t="s">
        <v>1357</v>
      </c>
      <c r="C208" s="175" t="e">
        <f ca="1">PAProjects[[#This Row],[LINKING_CODE]]=_xlfn.CONCAT(PAProjects[[#This Row],[Project Code]]," ",PAProjects[[#This Row],[Project Name]])</f>
        <v>#NAME?</v>
      </c>
      <c r="D208" s="175" t="e">
        <f>VLOOKUP(PAProjects[[#This Row],[LINKING_CODE]],MasterTable[[Project Code and Name ]],1,FALSE)</f>
        <v>#N/A</v>
      </c>
      <c r="E208" s="175" t="s">
        <v>531</v>
      </c>
      <c r="F208" s="175" t="s">
        <v>940</v>
      </c>
      <c r="G208" s="175" t="s">
        <v>310</v>
      </c>
      <c r="H208" s="175" t="str">
        <f>VLOOKUP(I208,'Program Codes'!C:D,2,FALSE)</f>
        <v>09</v>
      </c>
      <c r="I208" s="175" t="s">
        <v>1088</v>
      </c>
      <c r="J208" s="175" t="s">
        <v>850</v>
      </c>
      <c r="K208" s="175" t="s">
        <v>851</v>
      </c>
      <c r="L208" s="175" t="s">
        <v>1509</v>
      </c>
      <c r="M208" s="188">
        <v>39264</v>
      </c>
      <c r="N208" s="182">
        <v>44742</v>
      </c>
      <c r="O208" s="183">
        <v>200</v>
      </c>
      <c r="P208" s="174"/>
      <c r="Q208" s="174">
        <f t="shared" si="21"/>
        <v>200</v>
      </c>
      <c r="R208" s="174">
        <v>0</v>
      </c>
      <c r="S208" s="175">
        <v>1.1060000000000001</v>
      </c>
      <c r="T208" s="175">
        <v>101.456</v>
      </c>
      <c r="U208" s="202">
        <f>PAProjects[[#This Row],[GOU 21/22]]+PAProjects[[#This Row],[DONOR 21/22]]</f>
        <v>102.562</v>
      </c>
      <c r="V208" s="175"/>
      <c r="W208" s="175"/>
      <c r="X208" s="191">
        <f>PAProjects[[#This Row],[GOU 22/23]]+PAProjects[[#This Row],[DONOR 22/23]]</f>
        <v>0</v>
      </c>
      <c r="Y208" s="175"/>
      <c r="Z208" s="175"/>
      <c r="AA208" s="175"/>
      <c r="AB208" s="175"/>
      <c r="AC208" s="175"/>
      <c r="AD208" s="191">
        <f>PAProjects[[#This Row],[GOU 24/25]]+PAProjects[[#This Row],[DONOR 24/25]]</f>
        <v>0</v>
      </c>
    </row>
    <row r="209" spans="1:30" ht="15" customHeight="1" x14ac:dyDescent="0.25">
      <c r="A209" s="180" t="s">
        <v>206</v>
      </c>
      <c r="B209" s="175" t="s">
        <v>1358</v>
      </c>
      <c r="C209" s="175" t="e">
        <f ca="1">PAProjects[[#This Row],[LINKING_CODE]]=_xlfn.CONCAT(PAProjects[[#This Row],[Project Code]]," ",PAProjects[[#This Row],[Project Name]])</f>
        <v>#NAME?</v>
      </c>
      <c r="D209" s="175" t="e">
        <f>VLOOKUP(PAProjects[[#This Row],[LINKING_CODE]],MasterTable[[Project Code and Name ]],1,FALSE)</f>
        <v>#N/A</v>
      </c>
      <c r="E209" s="175" t="s">
        <v>513</v>
      </c>
      <c r="F209" s="175" t="s">
        <v>1089</v>
      </c>
      <c r="G209" s="175" t="s">
        <v>312</v>
      </c>
      <c r="H209" s="175" t="str">
        <f>VLOOKUP(I209,'Program Codes'!C:D,2,FALSE)</f>
        <v>11</v>
      </c>
      <c r="I209" s="175" t="s">
        <v>1095</v>
      </c>
      <c r="J209" s="175" t="s">
        <v>1094</v>
      </c>
      <c r="K209" s="175" t="s">
        <v>585</v>
      </c>
      <c r="L209" s="175" t="s">
        <v>1509</v>
      </c>
      <c r="M209" s="182">
        <v>44013</v>
      </c>
      <c r="N209" s="182">
        <v>45838</v>
      </c>
      <c r="O209" s="198">
        <v>133.55000000000001</v>
      </c>
      <c r="P209" s="174"/>
      <c r="Q209" s="174">
        <f t="shared" si="21"/>
        <v>133.55000000000001</v>
      </c>
      <c r="R209" s="174">
        <v>0</v>
      </c>
      <c r="S209" s="175">
        <v>26.71</v>
      </c>
      <c r="T209" s="202"/>
      <c r="U209" s="191">
        <f>PAProjects[[#This Row],[GOU 21/22]]+PAProjects[[#This Row],[DONOR 21/22]]</f>
        <v>26.71</v>
      </c>
      <c r="V209" s="175">
        <v>26.71</v>
      </c>
      <c r="W209" s="175"/>
      <c r="X209" s="191">
        <f>PAProjects[[#This Row],[GOU 22/23]]+PAProjects[[#This Row],[DONOR 22/23]]</f>
        <v>26.71</v>
      </c>
      <c r="Y209" s="175">
        <v>26.71</v>
      </c>
      <c r="Z209" s="175"/>
      <c r="AA209" s="175">
        <f>Y209+Z209</f>
        <v>26.71</v>
      </c>
      <c r="AB209" s="175">
        <v>26.71</v>
      </c>
      <c r="AC209" s="175"/>
      <c r="AD209" s="202">
        <f>PAProjects[[#This Row],[GOU 24/25]]+PAProjects[[#This Row],[DONOR 24/25]]</f>
        <v>26.71</v>
      </c>
    </row>
    <row r="210" spans="1:30" ht="15" customHeight="1" x14ac:dyDescent="0.25">
      <c r="A210" s="180" t="s">
        <v>207</v>
      </c>
      <c r="B210" s="175" t="s">
        <v>1359</v>
      </c>
      <c r="C210" s="175" t="e">
        <f ca="1">PAProjects[[#This Row],[LINKING_CODE]]=_xlfn.CONCAT(PAProjects[[#This Row],[Project Code]]," ",PAProjects[[#This Row],[Project Name]])</f>
        <v>#NAME?</v>
      </c>
      <c r="D210" s="175" t="e">
        <f>VLOOKUP(PAProjects[[#This Row],[LINKING_CODE]],MasterTable[[Project Code and Name ]],1,FALSE)</f>
        <v>#N/A</v>
      </c>
      <c r="E210" s="175" t="s">
        <v>531</v>
      </c>
      <c r="F210" s="175" t="s">
        <v>940</v>
      </c>
      <c r="G210" s="175" t="s">
        <v>941</v>
      </c>
      <c r="H210" s="175" t="str">
        <f>VLOOKUP(I210,'Program Codes'!C:D,2,FALSE)</f>
        <v>12</v>
      </c>
      <c r="I210" s="175" t="s">
        <v>1107</v>
      </c>
      <c r="J210" s="175" t="s">
        <v>853</v>
      </c>
      <c r="K210" s="175" t="s">
        <v>1108</v>
      </c>
      <c r="L210" s="175" t="s">
        <v>1509</v>
      </c>
      <c r="M210" s="188">
        <v>41821</v>
      </c>
      <c r="N210" s="182">
        <v>44742</v>
      </c>
      <c r="O210" s="183">
        <v>14.252000000000001</v>
      </c>
      <c r="P210" s="184">
        <v>90.858999999999995</v>
      </c>
      <c r="Q210" s="174">
        <f t="shared" si="21"/>
        <v>105.11099999999999</v>
      </c>
      <c r="R210" s="174">
        <v>0</v>
      </c>
      <c r="S210" s="175">
        <v>2.84</v>
      </c>
      <c r="T210" s="175">
        <v>37.369999999999997</v>
      </c>
      <c r="U210" s="191">
        <f>PAProjects[[#This Row],[GOU 21/22]]+PAProjects[[#This Row],[DONOR 21/22]]</f>
        <v>40.209999999999994</v>
      </c>
      <c r="V210" s="175"/>
      <c r="W210" s="175"/>
      <c r="X210" s="191">
        <f>PAProjects[[#This Row],[GOU 22/23]]+PAProjects[[#This Row],[DONOR 22/23]]</f>
        <v>0</v>
      </c>
      <c r="Y210" s="175"/>
      <c r="Z210" s="175"/>
      <c r="AA210" s="175"/>
      <c r="AB210" s="175"/>
      <c r="AC210" s="175"/>
      <c r="AD210" s="191">
        <f>PAProjects[[#This Row],[GOU 24/25]]+PAProjects[[#This Row],[DONOR 24/25]]</f>
        <v>0</v>
      </c>
    </row>
    <row r="211" spans="1:30" ht="15" customHeight="1" x14ac:dyDescent="0.25">
      <c r="A211" s="180" t="s">
        <v>208</v>
      </c>
      <c r="B211" s="175" t="s">
        <v>1360</v>
      </c>
      <c r="C211" s="175" t="e">
        <f ca="1">PAProjects[[#This Row],[LINKING_CODE]]=_xlfn.CONCAT(PAProjects[[#This Row],[Project Code]]," ",PAProjects[[#This Row],[Project Name]])</f>
        <v>#NAME?</v>
      </c>
      <c r="D211" s="175" t="e">
        <f>VLOOKUP(PAProjects[[#This Row],[LINKING_CODE]],MasterTable[[Project Code and Name ]],1,FALSE)</f>
        <v>#N/A</v>
      </c>
      <c r="E211" s="175" t="s">
        <v>531</v>
      </c>
      <c r="F211" s="175" t="s">
        <v>940</v>
      </c>
      <c r="G211" s="175" t="s">
        <v>941</v>
      </c>
      <c r="H211" s="175" t="str">
        <f>VLOOKUP(I211,'Program Codes'!C:D,2,FALSE)</f>
        <v>12</v>
      </c>
      <c r="I211" s="203" t="s">
        <v>1107</v>
      </c>
      <c r="J211" s="203" t="s">
        <v>1109</v>
      </c>
      <c r="K211" s="175" t="s">
        <v>1110</v>
      </c>
      <c r="L211" s="175" t="s">
        <v>1509</v>
      </c>
      <c r="M211" s="217">
        <v>44378</v>
      </c>
      <c r="N211" s="217">
        <v>46203</v>
      </c>
      <c r="O211" s="174"/>
      <c r="P211" s="218">
        <v>1665</v>
      </c>
      <c r="Q211" s="174">
        <f t="shared" ref="Q211" si="23">SUM(O211:P211)</f>
        <v>1665</v>
      </c>
      <c r="R211" s="174">
        <v>0</v>
      </c>
      <c r="S211" s="175"/>
      <c r="T211" s="175">
        <v>725.2</v>
      </c>
      <c r="U211" s="191">
        <f>PAProjects[[#This Row],[GOU 21/22]]+PAProjects[[#This Row],[DONOR 21/22]]</f>
        <v>725.2</v>
      </c>
      <c r="V211" s="175"/>
      <c r="W211" s="175">
        <v>234.95</v>
      </c>
      <c r="X211" s="191">
        <f>PAProjects[[#This Row],[GOU 22/23]]+PAProjects[[#This Row],[DONOR 22/23]]</f>
        <v>234.95</v>
      </c>
      <c r="Y211" s="175"/>
      <c r="Z211" s="175">
        <v>234.95</v>
      </c>
      <c r="AA211" s="175"/>
      <c r="AB211" s="175"/>
      <c r="AC211" s="175">
        <v>234.95</v>
      </c>
      <c r="AD211" s="191">
        <f>PAProjects[[#This Row],[GOU 24/25]]+PAProjects[[#This Row],[DONOR 24/25]]</f>
        <v>234.95</v>
      </c>
    </row>
    <row r="212" spans="1:30" ht="15" customHeight="1" x14ac:dyDescent="0.25">
      <c r="A212" s="180" t="s">
        <v>209</v>
      </c>
      <c r="B212" s="175" t="s">
        <v>1361</v>
      </c>
      <c r="C212" s="175" t="e">
        <f ca="1">PAProjects[[#This Row],[LINKING_CODE]]=_xlfn.CONCAT(PAProjects[[#This Row],[Project Code]]," ",PAProjects[[#This Row],[Project Name]])</f>
        <v>#NAME?</v>
      </c>
      <c r="D212" s="175" t="e">
        <f>VLOOKUP(PAProjects[[#This Row],[LINKING_CODE]],MasterTable[[Project Code and Name ]],1,FALSE)</f>
        <v>#N/A</v>
      </c>
      <c r="E212" s="175" t="s">
        <v>511</v>
      </c>
      <c r="F212" s="175" t="s">
        <v>890</v>
      </c>
      <c r="G212" s="175" t="s">
        <v>891</v>
      </c>
      <c r="H212" s="175" t="str">
        <f>VLOOKUP(I212,'Program Codes'!C:D,2,FALSE)</f>
        <v>13</v>
      </c>
      <c r="I212" s="175" t="s">
        <v>1113</v>
      </c>
      <c r="J212" s="175" t="s">
        <v>1111</v>
      </c>
      <c r="K212" s="175" t="s">
        <v>547</v>
      </c>
      <c r="L212" s="175" t="str">
        <f t="shared" ref="L212:L256" si="24">IF(ISERROR(SEARCH("Retooling",K212))=FALSE,"Retooling","")</f>
        <v>Retooling</v>
      </c>
      <c r="M212" s="182">
        <v>44013</v>
      </c>
      <c r="N212" s="182">
        <v>45838</v>
      </c>
      <c r="O212" s="185">
        <v>62.32</v>
      </c>
      <c r="P212" s="185"/>
      <c r="Q212" s="174">
        <f t="shared" ref="Q212:Q243" si="25">SUM(O212:P212)</f>
        <v>62.32</v>
      </c>
      <c r="R212" s="174">
        <v>0</v>
      </c>
      <c r="S212" s="202">
        <f t="shared" ref="S212:S226" si="26">O212/5</f>
        <v>12.464</v>
      </c>
      <c r="T212" s="175"/>
      <c r="U212" s="202">
        <f>PAProjects[[#This Row],[GOU 21/22]]+PAProjects[[#This Row],[DONOR 21/22]]</f>
        <v>12.464</v>
      </c>
      <c r="V212" s="202">
        <f t="shared" ref="V212:V226" si="27">S212</f>
        <v>12.464</v>
      </c>
      <c r="W212" s="175"/>
      <c r="X212" s="202">
        <f>PAProjects[[#This Row],[GOU 22/23]]+PAProjects[[#This Row],[DONOR 22/23]]</f>
        <v>12.464</v>
      </c>
      <c r="Y212" s="202">
        <f t="shared" ref="Y212:Y226" si="28">V212</f>
        <v>12.464</v>
      </c>
      <c r="Z212" s="175"/>
      <c r="AA212" s="202">
        <f>SUM(Y212:Z212)</f>
        <v>12.464</v>
      </c>
      <c r="AB212" s="202">
        <f t="shared" ref="AB212:AB226" si="29">Y212</f>
        <v>12.464</v>
      </c>
      <c r="AC212" s="175"/>
      <c r="AD212" s="202">
        <f>PAProjects[[#This Row],[GOU 24/25]]+PAProjects[[#This Row],[DONOR 24/25]]</f>
        <v>12.464</v>
      </c>
    </row>
    <row r="213" spans="1:30" ht="15" customHeight="1" x14ac:dyDescent="0.25">
      <c r="A213" s="180" t="s">
        <v>210</v>
      </c>
      <c r="B213" s="175" t="s">
        <v>1362</v>
      </c>
      <c r="C213" s="175" t="e">
        <f ca="1">PAProjects[[#This Row],[LINKING_CODE]]=_xlfn.CONCAT(PAProjects[[#This Row],[Project Code]]," ",PAProjects[[#This Row],[Project Name]])</f>
        <v>#NAME?</v>
      </c>
      <c r="D213" s="175" t="e">
        <f>VLOOKUP(PAProjects[[#This Row],[LINKING_CODE]],MasterTable[[Project Code and Name ]],1,FALSE)</f>
        <v>#N/A</v>
      </c>
      <c r="E213" s="175" t="s">
        <v>511</v>
      </c>
      <c r="F213" s="175" t="s">
        <v>890</v>
      </c>
      <c r="G213" s="175" t="s">
        <v>160</v>
      </c>
      <c r="H213" s="175" t="str">
        <f>VLOOKUP(I213,'Program Codes'!C:D,2,FALSE)</f>
        <v>13</v>
      </c>
      <c r="I213" s="175" t="s">
        <v>1113</v>
      </c>
      <c r="J213" s="175" t="s">
        <v>1114</v>
      </c>
      <c r="K213" s="175" t="s">
        <v>552</v>
      </c>
      <c r="L213" s="175" t="str">
        <f t="shared" si="24"/>
        <v>Retooling</v>
      </c>
      <c r="M213" s="182">
        <v>44013</v>
      </c>
      <c r="N213" s="182">
        <v>45838</v>
      </c>
      <c r="O213" s="174">
        <v>22.347000000000001</v>
      </c>
      <c r="P213" s="174"/>
      <c r="Q213" s="174">
        <f t="shared" si="25"/>
        <v>22.347000000000001</v>
      </c>
      <c r="R213" s="174">
        <v>0</v>
      </c>
      <c r="S213" s="202">
        <f t="shared" si="26"/>
        <v>4.4694000000000003</v>
      </c>
      <c r="T213" s="175"/>
      <c r="U213" s="202">
        <f>PAProjects[[#This Row],[GOU 21/22]]+PAProjects[[#This Row],[DONOR 21/22]]</f>
        <v>4.4694000000000003</v>
      </c>
      <c r="V213" s="202">
        <f t="shared" si="27"/>
        <v>4.4694000000000003</v>
      </c>
      <c r="W213" s="175"/>
      <c r="X213" s="202">
        <f>PAProjects[[#This Row],[GOU 22/23]]+PAProjects[[#This Row],[DONOR 22/23]]</f>
        <v>4.4694000000000003</v>
      </c>
      <c r="Y213" s="202">
        <f t="shared" si="28"/>
        <v>4.4694000000000003</v>
      </c>
      <c r="Z213" s="175"/>
      <c r="AA213" s="202">
        <f t="shared" ref="AA213:AA244" si="30">Y213+Z213</f>
        <v>4.4694000000000003</v>
      </c>
      <c r="AB213" s="202">
        <f t="shared" si="29"/>
        <v>4.4694000000000003</v>
      </c>
      <c r="AC213" s="175"/>
      <c r="AD213" s="202">
        <f>PAProjects[[#This Row],[GOU 24/25]]+PAProjects[[#This Row],[DONOR 24/25]]</f>
        <v>4.4694000000000003</v>
      </c>
    </row>
    <row r="214" spans="1:30" ht="15" customHeight="1" x14ac:dyDescent="0.25">
      <c r="A214" s="180" t="s">
        <v>211</v>
      </c>
      <c r="B214" s="175" t="s">
        <v>1363</v>
      </c>
      <c r="C214" s="175" t="e">
        <f ca="1">PAProjects[[#This Row],[LINKING_CODE]]=_xlfn.CONCAT(PAProjects[[#This Row],[Project Code]]," ",PAProjects[[#This Row],[Project Name]])</f>
        <v>#NAME?</v>
      </c>
      <c r="D214" s="175" t="e">
        <f>VLOOKUP(PAProjects[[#This Row],[LINKING_CODE]],MasterTable[[Project Code and Name ]],1,FALSE)</f>
        <v>#N/A</v>
      </c>
      <c r="E214" s="175" t="s">
        <v>512</v>
      </c>
      <c r="F214" s="175" t="s">
        <v>1105</v>
      </c>
      <c r="G214" s="175" t="s">
        <v>156</v>
      </c>
      <c r="H214" s="175" t="str">
        <f>VLOOKUP(I214,'Program Codes'!C:D,2,FALSE)</f>
        <v>13</v>
      </c>
      <c r="I214" s="175" t="s">
        <v>1113</v>
      </c>
      <c r="J214" s="175" t="s">
        <v>1116</v>
      </c>
      <c r="K214" s="175" t="s">
        <v>558</v>
      </c>
      <c r="L214" s="175" t="str">
        <f t="shared" si="24"/>
        <v>Retooling</v>
      </c>
      <c r="M214" s="201">
        <v>44013</v>
      </c>
      <c r="N214" s="201">
        <v>45838</v>
      </c>
      <c r="O214" s="174">
        <v>10.35</v>
      </c>
      <c r="P214" s="174"/>
      <c r="Q214" s="174">
        <f t="shared" si="25"/>
        <v>10.35</v>
      </c>
      <c r="R214" s="174">
        <v>0</v>
      </c>
      <c r="S214" s="202">
        <f t="shared" si="26"/>
        <v>2.0699999999999998</v>
      </c>
      <c r="T214" s="175"/>
      <c r="U214" s="202">
        <f>PAProjects[[#This Row],[GOU 21/22]]+PAProjects[[#This Row],[DONOR 21/22]]</f>
        <v>2.0699999999999998</v>
      </c>
      <c r="V214" s="202">
        <f t="shared" si="27"/>
        <v>2.0699999999999998</v>
      </c>
      <c r="W214" s="175"/>
      <c r="X214" s="202">
        <f>PAProjects[[#This Row],[GOU 22/23]]+PAProjects[[#This Row],[DONOR 22/23]]</f>
        <v>2.0699999999999998</v>
      </c>
      <c r="Y214" s="202">
        <f t="shared" si="28"/>
        <v>2.0699999999999998</v>
      </c>
      <c r="Z214" s="175"/>
      <c r="AA214" s="202">
        <f t="shared" si="30"/>
        <v>2.0699999999999998</v>
      </c>
      <c r="AB214" s="202">
        <f t="shared" si="29"/>
        <v>2.0699999999999998</v>
      </c>
      <c r="AC214" s="175"/>
      <c r="AD214" s="202">
        <f>PAProjects[[#This Row],[GOU 24/25]]+PAProjects[[#This Row],[DONOR 24/25]]</f>
        <v>2.0699999999999998</v>
      </c>
    </row>
    <row r="215" spans="1:30" ht="15" customHeight="1" x14ac:dyDescent="0.25">
      <c r="A215" s="180" t="s">
        <v>212</v>
      </c>
      <c r="B215" s="175" t="s">
        <v>1364</v>
      </c>
      <c r="C215" s="175" t="e">
        <f ca="1">PAProjects[[#This Row],[LINKING_CODE]]=_xlfn.CONCAT(PAProjects[[#This Row],[Project Code]]," ",PAProjects[[#This Row],[Project Name]])</f>
        <v>#NAME?</v>
      </c>
      <c r="D215" s="175" t="e">
        <f>VLOOKUP(PAProjects[[#This Row],[LINKING_CODE]],MasterTable[[Project Code and Name ]],1,FALSE)</f>
        <v>#N/A</v>
      </c>
      <c r="E215" s="175" t="s">
        <v>513</v>
      </c>
      <c r="F215" s="175" t="s">
        <v>1089</v>
      </c>
      <c r="G215" s="175" t="s">
        <v>312</v>
      </c>
      <c r="H215" s="175" t="str">
        <f>VLOOKUP(I215,'Program Codes'!C:D,2,FALSE)</f>
        <v>13</v>
      </c>
      <c r="I215" s="175" t="s">
        <v>1113</v>
      </c>
      <c r="J215" s="175" t="s">
        <v>1119</v>
      </c>
      <c r="K215" s="175" t="s">
        <v>580</v>
      </c>
      <c r="L215" s="175" t="str">
        <f t="shared" si="24"/>
        <v>Retooling</v>
      </c>
      <c r="M215" s="182">
        <v>44013</v>
      </c>
      <c r="N215" s="182">
        <v>45838</v>
      </c>
      <c r="O215" s="198">
        <v>59.86</v>
      </c>
      <c r="P215" s="174"/>
      <c r="Q215" s="174">
        <f t="shared" si="25"/>
        <v>59.86</v>
      </c>
      <c r="R215" s="174">
        <v>0</v>
      </c>
      <c r="S215" s="202">
        <f t="shared" si="26"/>
        <v>11.972</v>
      </c>
      <c r="T215" s="175"/>
      <c r="U215" s="202">
        <f>PAProjects[[#This Row],[GOU 21/22]]+PAProjects[[#This Row],[DONOR 21/22]]</f>
        <v>11.972</v>
      </c>
      <c r="V215" s="202">
        <f t="shared" si="27"/>
        <v>11.972</v>
      </c>
      <c r="W215" s="175"/>
      <c r="X215" s="202">
        <f>PAProjects[[#This Row],[GOU 22/23]]+PAProjects[[#This Row],[DONOR 22/23]]</f>
        <v>11.972</v>
      </c>
      <c r="Y215" s="202">
        <f t="shared" si="28"/>
        <v>11.972</v>
      </c>
      <c r="Z215" s="175"/>
      <c r="AA215" s="202">
        <f t="shared" si="30"/>
        <v>11.972</v>
      </c>
      <c r="AB215" s="202">
        <f t="shared" si="29"/>
        <v>11.972</v>
      </c>
      <c r="AC215" s="175"/>
      <c r="AD215" s="202">
        <f>PAProjects[[#This Row],[GOU 24/25]]+PAProjects[[#This Row],[DONOR 24/25]]</f>
        <v>11.972</v>
      </c>
    </row>
    <row r="216" spans="1:30" ht="15" customHeight="1" x14ac:dyDescent="0.25">
      <c r="A216" s="180" t="s">
        <v>213</v>
      </c>
      <c r="B216" s="175" t="s">
        <v>1365</v>
      </c>
      <c r="C216" s="175" t="e">
        <f ca="1">PAProjects[[#This Row],[LINKING_CODE]]=_xlfn.CONCAT(PAProjects[[#This Row],[Project Code]]," ",PAProjects[[#This Row],[Project Name]])</f>
        <v>#NAME?</v>
      </c>
      <c r="D216" s="175" t="e">
        <f>VLOOKUP(PAProjects[[#This Row],[LINKING_CODE]],MasterTable[[Project Code and Name ]],1,FALSE)</f>
        <v>#N/A</v>
      </c>
      <c r="E216" s="175" t="s">
        <v>515</v>
      </c>
      <c r="F216" s="175" t="s">
        <v>944</v>
      </c>
      <c r="G216" s="175" t="s">
        <v>113</v>
      </c>
      <c r="H216" s="175" t="str">
        <f>VLOOKUP(I216,'Program Codes'!C:D,2,FALSE)</f>
        <v>13</v>
      </c>
      <c r="I216" s="175" t="s">
        <v>1113</v>
      </c>
      <c r="J216" s="175" t="s">
        <v>1121</v>
      </c>
      <c r="K216" s="175" t="s">
        <v>645</v>
      </c>
      <c r="L216" s="175" t="str">
        <f t="shared" si="24"/>
        <v>Retooling</v>
      </c>
      <c r="M216" s="182">
        <v>44013</v>
      </c>
      <c r="N216" s="182">
        <v>45838</v>
      </c>
      <c r="O216" s="183">
        <v>373.78</v>
      </c>
      <c r="P216" s="184">
        <v>0</v>
      </c>
      <c r="Q216" s="174">
        <f t="shared" si="25"/>
        <v>373.78</v>
      </c>
      <c r="R216" s="174">
        <v>0</v>
      </c>
      <c r="S216" s="202">
        <f t="shared" si="26"/>
        <v>74.756</v>
      </c>
      <c r="T216" s="175"/>
      <c r="U216" s="202">
        <f>PAProjects[[#This Row],[GOU 21/22]]+PAProjects[[#This Row],[DONOR 21/22]]</f>
        <v>74.756</v>
      </c>
      <c r="V216" s="202">
        <f t="shared" si="27"/>
        <v>74.756</v>
      </c>
      <c r="W216" s="175"/>
      <c r="X216" s="202">
        <f>PAProjects[[#This Row],[GOU 22/23]]+PAProjects[[#This Row],[DONOR 22/23]]</f>
        <v>74.756</v>
      </c>
      <c r="Y216" s="202">
        <f t="shared" si="28"/>
        <v>74.756</v>
      </c>
      <c r="Z216" s="175"/>
      <c r="AA216" s="202">
        <f t="shared" si="30"/>
        <v>74.756</v>
      </c>
      <c r="AB216" s="202">
        <f t="shared" si="29"/>
        <v>74.756</v>
      </c>
      <c r="AC216" s="175"/>
      <c r="AD216" s="202">
        <f>PAProjects[[#This Row],[GOU 24/25]]+PAProjects[[#This Row],[DONOR 24/25]]</f>
        <v>74.756</v>
      </c>
    </row>
    <row r="217" spans="1:30" ht="15" customHeight="1" x14ac:dyDescent="0.25">
      <c r="A217" s="180" t="s">
        <v>214</v>
      </c>
      <c r="B217" s="175" t="s">
        <v>1366</v>
      </c>
      <c r="C217" s="175" t="e">
        <f ca="1">PAProjects[[#This Row],[LINKING_CODE]]=_xlfn.CONCAT(PAProjects[[#This Row],[Project Code]]," ",PAProjects[[#This Row],[Project Name]])</f>
        <v>#NAME?</v>
      </c>
      <c r="D217" s="175" t="e">
        <f>VLOOKUP(PAProjects[[#This Row],[LINKING_CODE]],MasterTable[[Project Code and Name ]],1,FALSE)</f>
        <v>#N/A</v>
      </c>
      <c r="E217" s="175" t="s">
        <v>515</v>
      </c>
      <c r="F217" s="175" t="s">
        <v>944</v>
      </c>
      <c r="G217" s="175" t="s">
        <v>118</v>
      </c>
      <c r="H217" s="175" t="str">
        <f>VLOOKUP(I217,'Program Codes'!C:D,2,FALSE)</f>
        <v>13</v>
      </c>
      <c r="I217" s="175" t="s">
        <v>1113</v>
      </c>
      <c r="J217" s="175" t="s">
        <v>1122</v>
      </c>
      <c r="K217" s="175" t="s">
        <v>658</v>
      </c>
      <c r="L217" s="175" t="str">
        <f t="shared" si="24"/>
        <v>Retooling</v>
      </c>
      <c r="M217" s="182">
        <v>44013</v>
      </c>
      <c r="N217" s="182">
        <v>45838</v>
      </c>
      <c r="O217" s="174">
        <v>46.18</v>
      </c>
      <c r="P217" s="174"/>
      <c r="Q217" s="174">
        <f t="shared" si="25"/>
        <v>46.18</v>
      </c>
      <c r="R217" s="174">
        <v>0</v>
      </c>
      <c r="S217" s="202">
        <f t="shared" si="26"/>
        <v>9.2360000000000007</v>
      </c>
      <c r="T217" s="175"/>
      <c r="U217" s="202">
        <f>PAProjects[[#This Row],[GOU 21/22]]+PAProjects[[#This Row],[DONOR 21/22]]</f>
        <v>9.2360000000000007</v>
      </c>
      <c r="V217" s="202">
        <f t="shared" si="27"/>
        <v>9.2360000000000007</v>
      </c>
      <c r="W217" s="175"/>
      <c r="X217" s="202">
        <f>PAProjects[[#This Row],[GOU 22/23]]+PAProjects[[#This Row],[DONOR 22/23]]</f>
        <v>9.2360000000000007</v>
      </c>
      <c r="Y217" s="202">
        <f t="shared" si="28"/>
        <v>9.2360000000000007</v>
      </c>
      <c r="Z217" s="175"/>
      <c r="AA217" s="202">
        <f t="shared" si="30"/>
        <v>9.2360000000000007</v>
      </c>
      <c r="AB217" s="202">
        <f t="shared" si="29"/>
        <v>9.2360000000000007</v>
      </c>
      <c r="AC217" s="175"/>
      <c r="AD217" s="202">
        <f>PAProjects[[#This Row],[GOU 24/25]]+PAProjects[[#This Row],[DONOR 24/25]]</f>
        <v>9.2360000000000007</v>
      </c>
    </row>
    <row r="218" spans="1:30" ht="15" customHeight="1" x14ac:dyDescent="0.25">
      <c r="A218" s="180" t="s">
        <v>215</v>
      </c>
      <c r="B218" s="175" t="s">
        <v>1367</v>
      </c>
      <c r="C218" s="175" t="e">
        <f ca="1">PAProjects[[#This Row],[LINKING_CODE]]=_xlfn.CONCAT(PAProjects[[#This Row],[Project Code]]," ",PAProjects[[#This Row],[Project Name]])</f>
        <v>#NAME?</v>
      </c>
      <c r="D218" s="175" t="e">
        <f>VLOOKUP(PAProjects[[#This Row],[LINKING_CODE]],MasterTable[[Project Code and Name ]],1,FALSE)</f>
        <v>#N/A</v>
      </c>
      <c r="E218" s="175" t="s">
        <v>516</v>
      </c>
      <c r="F218" s="175" t="s">
        <v>948</v>
      </c>
      <c r="G218" s="175" t="s">
        <v>126</v>
      </c>
      <c r="H218" s="175" t="str">
        <f>VLOOKUP(I218,'Program Codes'!C:D,2,FALSE)</f>
        <v>13</v>
      </c>
      <c r="I218" s="175" t="s">
        <v>1113</v>
      </c>
      <c r="J218" s="175" t="s">
        <v>1124</v>
      </c>
      <c r="K218" s="175" t="s">
        <v>661</v>
      </c>
      <c r="L218" s="175" t="str">
        <f t="shared" si="24"/>
        <v>Retooling</v>
      </c>
      <c r="M218" s="182">
        <v>44013</v>
      </c>
      <c r="N218" s="182">
        <v>45838</v>
      </c>
      <c r="O218" s="183">
        <v>1.3545</v>
      </c>
      <c r="P218" s="174"/>
      <c r="Q218" s="174">
        <f t="shared" si="25"/>
        <v>1.3545</v>
      </c>
      <c r="R218" s="174">
        <v>0</v>
      </c>
      <c r="S218" s="202">
        <f t="shared" si="26"/>
        <v>0.27090000000000003</v>
      </c>
      <c r="T218" s="175"/>
      <c r="U218" s="202">
        <f>PAProjects[[#This Row],[GOU 21/22]]+PAProjects[[#This Row],[DONOR 21/22]]</f>
        <v>0.27090000000000003</v>
      </c>
      <c r="V218" s="202">
        <f t="shared" si="27"/>
        <v>0.27090000000000003</v>
      </c>
      <c r="W218" s="175"/>
      <c r="X218" s="202">
        <f>PAProjects[[#This Row],[GOU 22/23]]+PAProjects[[#This Row],[DONOR 22/23]]</f>
        <v>0.27090000000000003</v>
      </c>
      <c r="Y218" s="202">
        <f t="shared" si="28"/>
        <v>0.27090000000000003</v>
      </c>
      <c r="Z218" s="175"/>
      <c r="AA218" s="202">
        <f t="shared" si="30"/>
        <v>0.27090000000000003</v>
      </c>
      <c r="AB218" s="202">
        <f t="shared" si="29"/>
        <v>0.27090000000000003</v>
      </c>
      <c r="AC218" s="175"/>
      <c r="AD218" s="202">
        <f>PAProjects[[#This Row],[GOU 24/25]]+PAProjects[[#This Row],[DONOR 24/25]]</f>
        <v>0.27090000000000003</v>
      </c>
    </row>
    <row r="219" spans="1:30" ht="15" customHeight="1" x14ac:dyDescent="0.25">
      <c r="A219" s="180" t="s">
        <v>216</v>
      </c>
      <c r="B219" s="175" t="s">
        <v>1368</v>
      </c>
      <c r="C219" s="175" t="e">
        <f ca="1">PAProjects[[#This Row],[LINKING_CODE]]=_xlfn.CONCAT(PAProjects[[#This Row],[Project Code]]," ",PAProjects[[#This Row],[Project Name]])</f>
        <v>#NAME?</v>
      </c>
      <c r="D219" s="175" t="e">
        <f>VLOOKUP(PAProjects[[#This Row],[LINKING_CODE]],MasterTable[[Project Code and Name ]],1,FALSE)</f>
        <v>#N/A</v>
      </c>
      <c r="E219" s="175" t="s">
        <v>519</v>
      </c>
      <c r="F219" s="175" t="s">
        <v>960</v>
      </c>
      <c r="G219" s="175" t="s">
        <v>961</v>
      </c>
      <c r="H219" s="175" t="str">
        <f>VLOOKUP(I219,'Program Codes'!C:D,2,FALSE)</f>
        <v>13</v>
      </c>
      <c r="I219" s="175" t="s">
        <v>1113</v>
      </c>
      <c r="J219" s="175" t="s">
        <v>1128</v>
      </c>
      <c r="K219" s="175" t="s">
        <v>683</v>
      </c>
      <c r="L219" s="175" t="str">
        <f t="shared" si="24"/>
        <v>Retooling</v>
      </c>
      <c r="M219" s="182">
        <v>44013</v>
      </c>
      <c r="N219" s="182">
        <v>45838</v>
      </c>
      <c r="O219" s="183">
        <v>22</v>
      </c>
      <c r="P219" s="184">
        <v>0</v>
      </c>
      <c r="Q219" s="174">
        <f t="shared" si="25"/>
        <v>22</v>
      </c>
      <c r="R219" s="174">
        <v>0</v>
      </c>
      <c r="S219" s="202">
        <f t="shared" si="26"/>
        <v>4.4000000000000004</v>
      </c>
      <c r="T219" s="175"/>
      <c r="U219" s="202">
        <f>PAProjects[[#This Row],[GOU 21/22]]+PAProjects[[#This Row],[DONOR 21/22]]</f>
        <v>4.4000000000000004</v>
      </c>
      <c r="V219" s="202">
        <f t="shared" si="27"/>
        <v>4.4000000000000004</v>
      </c>
      <c r="W219" s="175"/>
      <c r="X219" s="202">
        <f>PAProjects[[#This Row],[GOU 22/23]]+PAProjects[[#This Row],[DONOR 22/23]]</f>
        <v>4.4000000000000004</v>
      </c>
      <c r="Y219" s="202">
        <f t="shared" si="28"/>
        <v>4.4000000000000004</v>
      </c>
      <c r="Z219" s="175"/>
      <c r="AA219" s="202">
        <f t="shared" si="30"/>
        <v>4.4000000000000004</v>
      </c>
      <c r="AB219" s="202">
        <f t="shared" si="29"/>
        <v>4.4000000000000004</v>
      </c>
      <c r="AC219" s="175"/>
      <c r="AD219" s="202">
        <f>PAProjects[[#This Row],[GOU 24/25]]+PAProjects[[#This Row],[DONOR 24/25]]</f>
        <v>4.4000000000000004</v>
      </c>
    </row>
    <row r="220" spans="1:30" ht="15" customHeight="1" x14ac:dyDescent="0.25">
      <c r="A220" s="180" t="s">
        <v>217</v>
      </c>
      <c r="B220" s="175" t="s">
        <v>1369</v>
      </c>
      <c r="C220" s="175" t="e">
        <f ca="1">PAProjects[[#This Row],[LINKING_CODE]]=_xlfn.CONCAT(PAProjects[[#This Row],[Project Code]]," ",PAProjects[[#This Row],[Project Name]])</f>
        <v>#NAME?</v>
      </c>
      <c r="D220" s="175" t="e">
        <f>VLOOKUP(PAProjects[[#This Row],[LINKING_CODE]],MasterTable[[Project Code and Name ]],1,FALSE)</f>
        <v>#N/A</v>
      </c>
      <c r="E220" s="175" t="s">
        <v>519</v>
      </c>
      <c r="F220" s="175" t="s">
        <v>960</v>
      </c>
      <c r="G220" s="175" t="s">
        <v>111</v>
      </c>
      <c r="H220" s="175" t="str">
        <f>VLOOKUP(I220,'Program Codes'!C:D,2,FALSE)</f>
        <v>13</v>
      </c>
      <c r="I220" s="175" t="s">
        <v>1113</v>
      </c>
      <c r="J220" s="175" t="s">
        <v>1129</v>
      </c>
      <c r="K220" s="175" t="s">
        <v>688</v>
      </c>
      <c r="L220" s="175" t="str">
        <f t="shared" si="24"/>
        <v>Retooling</v>
      </c>
      <c r="M220" s="182">
        <v>44013</v>
      </c>
      <c r="N220" s="182">
        <v>45838</v>
      </c>
      <c r="O220" s="183">
        <v>11.77</v>
      </c>
      <c r="P220" s="174"/>
      <c r="Q220" s="174">
        <f t="shared" si="25"/>
        <v>11.77</v>
      </c>
      <c r="R220" s="174">
        <v>0</v>
      </c>
      <c r="S220" s="202">
        <f t="shared" si="26"/>
        <v>2.3540000000000001</v>
      </c>
      <c r="T220" s="175"/>
      <c r="U220" s="202">
        <f>PAProjects[[#This Row],[GOU 21/22]]+PAProjects[[#This Row],[DONOR 21/22]]</f>
        <v>2.3540000000000001</v>
      </c>
      <c r="V220" s="202">
        <f t="shared" si="27"/>
        <v>2.3540000000000001</v>
      </c>
      <c r="W220" s="175"/>
      <c r="X220" s="202">
        <f>PAProjects[[#This Row],[GOU 22/23]]+PAProjects[[#This Row],[DONOR 22/23]]</f>
        <v>2.3540000000000001</v>
      </c>
      <c r="Y220" s="202">
        <f t="shared" si="28"/>
        <v>2.3540000000000001</v>
      </c>
      <c r="Z220" s="175"/>
      <c r="AA220" s="202">
        <f t="shared" si="30"/>
        <v>2.3540000000000001</v>
      </c>
      <c r="AB220" s="202">
        <f t="shared" si="29"/>
        <v>2.3540000000000001</v>
      </c>
      <c r="AC220" s="175"/>
      <c r="AD220" s="202">
        <f>PAProjects[[#This Row],[GOU 24/25]]+PAProjects[[#This Row],[DONOR 24/25]]</f>
        <v>2.3540000000000001</v>
      </c>
    </row>
    <row r="221" spans="1:30" ht="15" customHeight="1" x14ac:dyDescent="0.25">
      <c r="A221" s="180" t="s">
        <v>218</v>
      </c>
      <c r="B221" s="175" t="s">
        <v>1370</v>
      </c>
      <c r="C221" s="175" t="e">
        <f ca="1">PAProjects[[#This Row],[LINKING_CODE]]=_xlfn.CONCAT(PAProjects[[#This Row],[Project Code]]," ",PAProjects[[#This Row],[Project Name]])</f>
        <v>#NAME?</v>
      </c>
      <c r="D221" s="175" t="e">
        <f>VLOOKUP(PAProjects[[#This Row],[LINKING_CODE]],MasterTable[[Project Code and Name ]],1,FALSE)</f>
        <v>#N/A</v>
      </c>
      <c r="E221" s="175" t="s">
        <v>519</v>
      </c>
      <c r="F221" s="175" t="s">
        <v>960</v>
      </c>
      <c r="G221" s="175" t="s">
        <v>127</v>
      </c>
      <c r="H221" s="175" t="str">
        <f>VLOOKUP(I221,'Program Codes'!C:D,2,FALSE)</f>
        <v>13</v>
      </c>
      <c r="I221" s="175" t="s">
        <v>1113</v>
      </c>
      <c r="J221" s="175" t="s">
        <v>1130</v>
      </c>
      <c r="K221" s="175" t="s">
        <v>696</v>
      </c>
      <c r="L221" s="175" t="str">
        <f t="shared" si="24"/>
        <v>Retooling</v>
      </c>
      <c r="M221" s="182">
        <v>44013</v>
      </c>
      <c r="N221" s="182">
        <v>45838</v>
      </c>
      <c r="O221" s="174">
        <v>4.2</v>
      </c>
      <c r="P221" s="174"/>
      <c r="Q221" s="174">
        <f t="shared" si="25"/>
        <v>4.2</v>
      </c>
      <c r="R221" s="174">
        <v>0</v>
      </c>
      <c r="S221" s="202">
        <f t="shared" si="26"/>
        <v>0.84000000000000008</v>
      </c>
      <c r="T221" s="175"/>
      <c r="U221" s="202">
        <f>PAProjects[[#This Row],[GOU 21/22]]+PAProjects[[#This Row],[DONOR 21/22]]</f>
        <v>0.84000000000000008</v>
      </c>
      <c r="V221" s="202">
        <f t="shared" si="27"/>
        <v>0.84000000000000008</v>
      </c>
      <c r="W221" s="175"/>
      <c r="X221" s="202">
        <f>PAProjects[[#This Row],[GOU 22/23]]+PAProjects[[#This Row],[DONOR 22/23]]</f>
        <v>0.84000000000000008</v>
      </c>
      <c r="Y221" s="202">
        <f t="shared" si="28"/>
        <v>0.84000000000000008</v>
      </c>
      <c r="Z221" s="175"/>
      <c r="AA221" s="202">
        <f t="shared" si="30"/>
        <v>0.84000000000000008</v>
      </c>
      <c r="AB221" s="202">
        <f t="shared" si="29"/>
        <v>0.84000000000000008</v>
      </c>
      <c r="AC221" s="175"/>
      <c r="AD221" s="202">
        <f>PAProjects[[#This Row],[GOU 24/25]]+PAProjects[[#This Row],[DONOR 24/25]]</f>
        <v>0.84000000000000008</v>
      </c>
    </row>
    <row r="222" spans="1:30" ht="15" customHeight="1" x14ac:dyDescent="0.25">
      <c r="A222" s="180" t="s">
        <v>219</v>
      </c>
      <c r="B222" s="175" t="s">
        <v>1371</v>
      </c>
      <c r="C222" s="175" t="e">
        <f ca="1">PAProjects[[#This Row],[LINKING_CODE]]=_xlfn.CONCAT(PAProjects[[#This Row],[Project Code]]," ",PAProjects[[#This Row],[Project Name]])</f>
        <v>#NAME?</v>
      </c>
      <c r="D222" s="175" t="e">
        <f>VLOOKUP(PAProjects[[#This Row],[LINKING_CODE]],MasterTable[[Project Code and Name ]],1,FALSE)</f>
        <v>#N/A</v>
      </c>
      <c r="E222" s="175" t="s">
        <v>519</v>
      </c>
      <c r="F222" s="175" t="s">
        <v>960</v>
      </c>
      <c r="G222" s="175" t="s">
        <v>128</v>
      </c>
      <c r="H222" s="175" t="str">
        <f>VLOOKUP(I222,'Program Codes'!C:D,2,FALSE)</f>
        <v>13</v>
      </c>
      <c r="I222" s="175" t="s">
        <v>1113</v>
      </c>
      <c r="J222" s="175" t="s">
        <v>1131</v>
      </c>
      <c r="K222" s="175" t="s">
        <v>691</v>
      </c>
      <c r="L222" s="175" t="str">
        <f t="shared" si="24"/>
        <v>Retooling</v>
      </c>
      <c r="M222" s="182">
        <v>44013</v>
      </c>
      <c r="N222" s="182">
        <v>45838</v>
      </c>
      <c r="O222" s="183">
        <v>38.49</v>
      </c>
      <c r="P222" s="184">
        <v>0</v>
      </c>
      <c r="Q222" s="174">
        <f t="shared" si="25"/>
        <v>38.49</v>
      </c>
      <c r="R222" s="174">
        <v>0</v>
      </c>
      <c r="S222" s="202">
        <f t="shared" si="26"/>
        <v>7.6980000000000004</v>
      </c>
      <c r="T222" s="175"/>
      <c r="U222" s="202">
        <f>PAProjects[[#This Row],[GOU 21/22]]+PAProjects[[#This Row],[DONOR 21/22]]</f>
        <v>7.6980000000000004</v>
      </c>
      <c r="V222" s="202">
        <f t="shared" si="27"/>
        <v>7.6980000000000004</v>
      </c>
      <c r="W222" s="175"/>
      <c r="X222" s="202">
        <f>PAProjects[[#This Row],[GOU 22/23]]+PAProjects[[#This Row],[DONOR 22/23]]</f>
        <v>7.6980000000000004</v>
      </c>
      <c r="Y222" s="202">
        <f t="shared" si="28"/>
        <v>7.6980000000000004</v>
      </c>
      <c r="Z222" s="175"/>
      <c r="AA222" s="202">
        <f t="shared" si="30"/>
        <v>7.6980000000000004</v>
      </c>
      <c r="AB222" s="202">
        <f t="shared" si="29"/>
        <v>7.6980000000000004</v>
      </c>
      <c r="AC222" s="175"/>
      <c r="AD222" s="202">
        <f>PAProjects[[#This Row],[GOU 24/25]]+PAProjects[[#This Row],[DONOR 24/25]]</f>
        <v>7.6980000000000004</v>
      </c>
    </row>
    <row r="223" spans="1:30" ht="15" customHeight="1" x14ac:dyDescent="0.25">
      <c r="A223" s="180" t="s">
        <v>220</v>
      </c>
      <c r="B223" s="175" t="s">
        <v>1372</v>
      </c>
      <c r="C223" s="175" t="e">
        <f ca="1">PAProjects[[#This Row],[LINKING_CODE]]=_xlfn.CONCAT(PAProjects[[#This Row],[Project Code]]," ",PAProjects[[#This Row],[Project Name]])</f>
        <v>#NAME?</v>
      </c>
      <c r="D223" s="175" t="e">
        <f>VLOOKUP(PAProjects[[#This Row],[LINKING_CODE]],MasterTable[[Project Code and Name ]],1,FALSE)</f>
        <v>#N/A</v>
      </c>
      <c r="E223" s="175" t="s">
        <v>519</v>
      </c>
      <c r="F223" s="175" t="s">
        <v>960</v>
      </c>
      <c r="G223" s="175" t="s">
        <v>132</v>
      </c>
      <c r="H223" s="175" t="str">
        <f>VLOOKUP(I223,'Program Codes'!C:D,2,FALSE)</f>
        <v>13</v>
      </c>
      <c r="I223" s="175" t="s">
        <v>1113</v>
      </c>
      <c r="J223" s="175" t="s">
        <v>1132</v>
      </c>
      <c r="K223" s="175" t="s">
        <v>684</v>
      </c>
      <c r="L223" s="175" t="str">
        <f t="shared" si="24"/>
        <v>Retooling</v>
      </c>
      <c r="M223" s="182">
        <v>44013</v>
      </c>
      <c r="N223" s="182">
        <v>45838</v>
      </c>
      <c r="O223" s="174">
        <v>11.8</v>
      </c>
      <c r="P223" s="174"/>
      <c r="Q223" s="174">
        <f t="shared" si="25"/>
        <v>11.8</v>
      </c>
      <c r="R223" s="174">
        <v>0</v>
      </c>
      <c r="S223" s="202">
        <f t="shared" si="26"/>
        <v>2.3600000000000003</v>
      </c>
      <c r="T223" s="175"/>
      <c r="U223" s="202">
        <f>PAProjects[[#This Row],[GOU 21/22]]+PAProjects[[#This Row],[DONOR 21/22]]</f>
        <v>2.3600000000000003</v>
      </c>
      <c r="V223" s="202">
        <f t="shared" si="27"/>
        <v>2.3600000000000003</v>
      </c>
      <c r="W223" s="175"/>
      <c r="X223" s="202">
        <f>PAProjects[[#This Row],[GOU 22/23]]+PAProjects[[#This Row],[DONOR 22/23]]</f>
        <v>2.3600000000000003</v>
      </c>
      <c r="Y223" s="202">
        <f t="shared" si="28"/>
        <v>2.3600000000000003</v>
      </c>
      <c r="Z223" s="175"/>
      <c r="AA223" s="202">
        <f t="shared" si="30"/>
        <v>2.3600000000000003</v>
      </c>
      <c r="AB223" s="202">
        <f t="shared" si="29"/>
        <v>2.3600000000000003</v>
      </c>
      <c r="AC223" s="175"/>
      <c r="AD223" s="202">
        <f>PAProjects[[#This Row],[GOU 24/25]]+PAProjects[[#This Row],[DONOR 24/25]]</f>
        <v>2.3600000000000003</v>
      </c>
    </row>
    <row r="224" spans="1:30" ht="15" customHeight="1" x14ac:dyDescent="0.25">
      <c r="A224" s="180" t="s">
        <v>221</v>
      </c>
      <c r="B224" s="175" t="s">
        <v>1373</v>
      </c>
      <c r="C224" s="175" t="e">
        <f ca="1">PAProjects[[#This Row],[LINKING_CODE]]=_xlfn.CONCAT(PAProjects[[#This Row],[Project Code]]," ",PAProjects[[#This Row],[Project Name]])</f>
        <v>#NAME?</v>
      </c>
      <c r="D224" s="175" t="e">
        <f>VLOOKUP(PAProjects[[#This Row],[LINKING_CODE]],MasterTable[[Project Code and Name ]],1,FALSE)</f>
        <v>#N/A</v>
      </c>
      <c r="E224" s="175" t="s">
        <v>519</v>
      </c>
      <c r="F224" s="175" t="s">
        <v>960</v>
      </c>
      <c r="G224" s="175" t="s">
        <v>136</v>
      </c>
      <c r="H224" s="175" t="str">
        <f>VLOOKUP(I224,'Program Codes'!C:D,2,FALSE)</f>
        <v>13</v>
      </c>
      <c r="I224" s="175" t="s">
        <v>1113</v>
      </c>
      <c r="J224" s="175" t="s">
        <v>1133</v>
      </c>
      <c r="K224" s="175" t="s">
        <v>685</v>
      </c>
      <c r="L224" s="175" t="str">
        <f t="shared" si="24"/>
        <v>Retooling</v>
      </c>
      <c r="M224" s="182">
        <v>44013</v>
      </c>
      <c r="N224" s="182">
        <v>45838</v>
      </c>
      <c r="O224" s="174">
        <v>500</v>
      </c>
      <c r="P224" s="174"/>
      <c r="Q224" s="174">
        <f t="shared" si="25"/>
        <v>500</v>
      </c>
      <c r="R224" s="174">
        <v>0</v>
      </c>
      <c r="S224" s="202">
        <f t="shared" si="26"/>
        <v>100</v>
      </c>
      <c r="T224" s="175"/>
      <c r="U224" s="202">
        <f>PAProjects[[#This Row],[GOU 21/22]]+PAProjects[[#This Row],[DONOR 21/22]]</f>
        <v>100</v>
      </c>
      <c r="V224" s="202">
        <f t="shared" si="27"/>
        <v>100</v>
      </c>
      <c r="W224" s="175"/>
      <c r="X224" s="202">
        <f>PAProjects[[#This Row],[GOU 22/23]]+PAProjects[[#This Row],[DONOR 22/23]]</f>
        <v>100</v>
      </c>
      <c r="Y224" s="202">
        <f t="shared" si="28"/>
        <v>100</v>
      </c>
      <c r="Z224" s="175"/>
      <c r="AA224" s="202">
        <f t="shared" si="30"/>
        <v>100</v>
      </c>
      <c r="AB224" s="202">
        <f t="shared" si="29"/>
        <v>100</v>
      </c>
      <c r="AC224" s="175"/>
      <c r="AD224" s="202">
        <f>PAProjects[[#This Row],[GOU 24/25]]+PAProjects[[#This Row],[DONOR 24/25]]</f>
        <v>100</v>
      </c>
    </row>
    <row r="225" spans="1:30" ht="15" customHeight="1" x14ac:dyDescent="0.25">
      <c r="A225" s="180" t="s">
        <v>222</v>
      </c>
      <c r="B225" s="175" t="s">
        <v>1374</v>
      </c>
      <c r="C225" s="175" t="e">
        <f ca="1">PAProjects[[#This Row],[LINKING_CODE]]=_xlfn.CONCAT(PAProjects[[#This Row],[Project Code]]," ",PAProjects[[#This Row],[Project Name]])</f>
        <v>#NAME?</v>
      </c>
      <c r="D225" s="175" t="e">
        <f>VLOOKUP(PAProjects[[#This Row],[LINKING_CODE]],MasterTable[[Project Code and Name ]],1,FALSE)</f>
        <v>#N/A</v>
      </c>
      <c r="E225" s="175" t="s">
        <v>519</v>
      </c>
      <c r="F225" s="175" t="s">
        <v>960</v>
      </c>
      <c r="G225" s="175" t="s">
        <v>138</v>
      </c>
      <c r="H225" s="175" t="str">
        <f>VLOOKUP(I225,'Program Codes'!C:D,2,FALSE)</f>
        <v>13</v>
      </c>
      <c r="I225" s="175" t="s">
        <v>1113</v>
      </c>
      <c r="J225" s="175" t="s">
        <v>1135</v>
      </c>
      <c r="K225" s="175" t="s">
        <v>689</v>
      </c>
      <c r="L225" s="175" t="str">
        <f t="shared" si="24"/>
        <v>Retooling</v>
      </c>
      <c r="M225" s="182">
        <v>44013</v>
      </c>
      <c r="N225" s="182">
        <v>45838</v>
      </c>
      <c r="O225" s="174">
        <v>10</v>
      </c>
      <c r="P225" s="174"/>
      <c r="Q225" s="174">
        <f t="shared" si="25"/>
        <v>10</v>
      </c>
      <c r="R225" s="174">
        <v>0</v>
      </c>
      <c r="S225" s="202">
        <f t="shared" si="26"/>
        <v>2</v>
      </c>
      <c r="T225" s="175"/>
      <c r="U225" s="202">
        <f>PAProjects[[#This Row],[GOU 21/22]]+PAProjects[[#This Row],[DONOR 21/22]]</f>
        <v>2</v>
      </c>
      <c r="V225" s="202">
        <f t="shared" si="27"/>
        <v>2</v>
      </c>
      <c r="W225" s="175"/>
      <c r="X225" s="202">
        <f>PAProjects[[#This Row],[GOU 22/23]]+PAProjects[[#This Row],[DONOR 22/23]]</f>
        <v>2</v>
      </c>
      <c r="Y225" s="202">
        <f t="shared" si="28"/>
        <v>2</v>
      </c>
      <c r="Z225" s="175"/>
      <c r="AA225" s="202">
        <f t="shared" si="30"/>
        <v>2</v>
      </c>
      <c r="AB225" s="202">
        <f t="shared" si="29"/>
        <v>2</v>
      </c>
      <c r="AC225" s="175"/>
      <c r="AD225" s="202">
        <f>PAProjects[[#This Row],[GOU 24/25]]+PAProjects[[#This Row],[DONOR 24/25]]</f>
        <v>2</v>
      </c>
    </row>
    <row r="226" spans="1:30" ht="15" customHeight="1" x14ac:dyDescent="0.25">
      <c r="A226" s="180" t="s">
        <v>223</v>
      </c>
      <c r="B226" s="175" t="s">
        <v>1375</v>
      </c>
      <c r="C226" s="175" t="e">
        <f ca="1">PAProjects[[#This Row],[LINKING_CODE]]=_xlfn.CONCAT(PAProjects[[#This Row],[Project Code]]," ",PAProjects[[#This Row],[Project Name]])</f>
        <v>#NAME?</v>
      </c>
      <c r="D226" s="175" t="e">
        <f>VLOOKUP(PAProjects[[#This Row],[LINKING_CODE]],MasterTable[[Project Code and Name ]],1,FALSE)</f>
        <v>#N/A</v>
      </c>
      <c r="E226" s="175" t="s">
        <v>519</v>
      </c>
      <c r="F226" s="175" t="s">
        <v>960</v>
      </c>
      <c r="G226" s="175" t="s">
        <v>139</v>
      </c>
      <c r="H226" s="175" t="str">
        <f>VLOOKUP(I226,'Program Codes'!C:D,2,FALSE)</f>
        <v>13</v>
      </c>
      <c r="I226" s="175" t="s">
        <v>1113</v>
      </c>
      <c r="J226" s="175" t="s">
        <v>1136</v>
      </c>
      <c r="K226" s="175" t="s">
        <v>686</v>
      </c>
      <c r="L226" s="175" t="str">
        <f t="shared" si="24"/>
        <v>Retooling</v>
      </c>
      <c r="M226" s="182">
        <v>44013</v>
      </c>
      <c r="N226" s="182">
        <v>45838</v>
      </c>
      <c r="O226" s="174">
        <v>24</v>
      </c>
      <c r="P226" s="174"/>
      <c r="Q226" s="174">
        <f t="shared" si="25"/>
        <v>24</v>
      </c>
      <c r="R226" s="174">
        <v>0</v>
      </c>
      <c r="S226" s="202">
        <f t="shared" si="26"/>
        <v>4.8</v>
      </c>
      <c r="T226" s="175"/>
      <c r="U226" s="202">
        <f>PAProjects[[#This Row],[GOU 21/22]]+PAProjects[[#This Row],[DONOR 21/22]]</f>
        <v>4.8</v>
      </c>
      <c r="V226" s="202">
        <f t="shared" si="27"/>
        <v>4.8</v>
      </c>
      <c r="W226" s="175"/>
      <c r="X226" s="202">
        <f>PAProjects[[#This Row],[GOU 22/23]]+PAProjects[[#This Row],[DONOR 22/23]]</f>
        <v>4.8</v>
      </c>
      <c r="Y226" s="202">
        <f t="shared" si="28"/>
        <v>4.8</v>
      </c>
      <c r="Z226" s="175"/>
      <c r="AA226" s="202">
        <f t="shared" si="30"/>
        <v>4.8</v>
      </c>
      <c r="AB226" s="202">
        <f t="shared" si="29"/>
        <v>4.8</v>
      </c>
      <c r="AC226" s="175"/>
      <c r="AD226" s="202">
        <f>PAProjects[[#This Row],[GOU 24/25]]+PAProjects[[#This Row],[DONOR 24/25]]</f>
        <v>4.8</v>
      </c>
    </row>
    <row r="227" spans="1:30" ht="15" customHeight="1" x14ac:dyDescent="0.25">
      <c r="A227" s="180" t="s">
        <v>224</v>
      </c>
      <c r="B227" s="175" t="s">
        <v>1376</v>
      </c>
      <c r="C227" s="175" t="e">
        <f ca="1">PAProjects[[#This Row],[LINKING_CODE]]=_xlfn.CONCAT(PAProjects[[#This Row],[Project Code]]," ",PAProjects[[#This Row],[Project Name]])</f>
        <v>#NAME?</v>
      </c>
      <c r="D227" s="175" t="e">
        <f>VLOOKUP(PAProjects[[#This Row],[LINKING_CODE]],MasterTable[[Project Code and Name ]],1,FALSE)</f>
        <v>#N/A</v>
      </c>
      <c r="E227" s="175" t="s">
        <v>519</v>
      </c>
      <c r="F227" s="175" t="s">
        <v>960</v>
      </c>
      <c r="G227" s="175" t="s">
        <v>149</v>
      </c>
      <c r="H227" s="175" t="str">
        <f>VLOOKUP(I227,'Program Codes'!C:D,2,FALSE)</f>
        <v>13</v>
      </c>
      <c r="I227" s="175" t="s">
        <v>1113</v>
      </c>
      <c r="J227" s="175" t="s">
        <v>1137</v>
      </c>
      <c r="K227" s="175" t="s">
        <v>690</v>
      </c>
      <c r="L227" s="175" t="str">
        <f t="shared" si="24"/>
        <v>Retooling</v>
      </c>
      <c r="M227" s="182">
        <v>44013</v>
      </c>
      <c r="N227" s="182">
        <v>45838</v>
      </c>
      <c r="O227" s="174">
        <v>44.848766126999998</v>
      </c>
      <c r="P227" s="174"/>
      <c r="Q227" s="174">
        <f t="shared" si="25"/>
        <v>44.848766126999998</v>
      </c>
      <c r="R227" s="174">
        <v>0</v>
      </c>
      <c r="S227" s="202">
        <v>13.659071757</v>
      </c>
      <c r="T227" s="175"/>
      <c r="U227" s="202">
        <f>PAProjects[[#This Row],[GOU 21/22]]+PAProjects[[#This Row],[DONOR 21/22]]</f>
        <v>13.659071757</v>
      </c>
      <c r="V227" s="202">
        <v>12</v>
      </c>
      <c r="W227" s="175"/>
      <c r="X227" s="202">
        <f>PAProjects[[#This Row],[GOU 22/23]]+PAProjects[[#This Row],[DONOR 22/23]]</f>
        <v>12</v>
      </c>
      <c r="Y227" s="202">
        <v>2.9220451199999999</v>
      </c>
      <c r="Z227" s="175"/>
      <c r="AA227" s="202">
        <f t="shared" si="30"/>
        <v>2.9220451199999999</v>
      </c>
      <c r="AB227" s="202">
        <v>2.9220451199999999</v>
      </c>
      <c r="AC227" s="175"/>
      <c r="AD227" s="202">
        <f>PAProjects[[#This Row],[GOU 24/25]]+PAProjects[[#This Row],[DONOR 24/25]]</f>
        <v>2.9220451199999999</v>
      </c>
    </row>
    <row r="228" spans="1:30" ht="15" customHeight="1" x14ac:dyDescent="0.25">
      <c r="A228" s="180" t="s">
        <v>225</v>
      </c>
      <c r="B228" s="175" t="s">
        <v>1377</v>
      </c>
      <c r="C228" s="175" t="e">
        <f ca="1">PAProjects[[#This Row],[LINKING_CODE]]=_xlfn.CONCAT(PAProjects[[#This Row],[Project Code]]," ",PAProjects[[#This Row],[Project Name]])</f>
        <v>#NAME?</v>
      </c>
      <c r="D228" s="175" t="e">
        <f>VLOOKUP(PAProjects[[#This Row],[LINKING_CODE]],MasterTable[[Project Code and Name ]],1,FALSE)</f>
        <v>#N/A</v>
      </c>
      <c r="E228" s="175" t="s">
        <v>519</v>
      </c>
      <c r="F228" s="175" t="s">
        <v>960</v>
      </c>
      <c r="G228" s="175" t="s">
        <v>301</v>
      </c>
      <c r="H228" s="175" t="str">
        <f>VLOOKUP(I228,'Program Codes'!C:D,2,FALSE)</f>
        <v>13</v>
      </c>
      <c r="I228" s="175" t="s">
        <v>1113</v>
      </c>
      <c r="J228" s="175" t="s">
        <v>1138</v>
      </c>
      <c r="K228" s="175" t="s">
        <v>1139</v>
      </c>
      <c r="L228" s="175" t="str">
        <f t="shared" si="24"/>
        <v>Retooling</v>
      </c>
      <c r="M228" s="182">
        <v>42917</v>
      </c>
      <c r="N228" s="182">
        <v>44742</v>
      </c>
      <c r="O228" s="174">
        <v>5.8570000000000002</v>
      </c>
      <c r="P228" s="174"/>
      <c r="Q228" s="174">
        <f t="shared" si="25"/>
        <v>5.8570000000000002</v>
      </c>
      <c r="R228" s="174">
        <v>0</v>
      </c>
      <c r="S228" s="219">
        <v>2</v>
      </c>
      <c r="T228" s="175"/>
      <c r="U228" s="191">
        <f>PAProjects[[#This Row],[GOU 21/22]]+PAProjects[[#This Row],[DONOR 21/22]]</f>
        <v>2</v>
      </c>
      <c r="V228" s="175"/>
      <c r="W228" s="175"/>
      <c r="X228" s="191">
        <f>PAProjects[[#This Row],[GOU 22/23]]+PAProjects[[#This Row],[DONOR 22/23]]</f>
        <v>0</v>
      </c>
      <c r="Y228" s="175"/>
      <c r="Z228" s="175"/>
      <c r="AA228" s="175">
        <f t="shared" si="30"/>
        <v>0</v>
      </c>
      <c r="AB228" s="175"/>
      <c r="AC228" s="175"/>
      <c r="AD228" s="191">
        <f>PAProjects[[#This Row],[GOU 24/25]]+PAProjects[[#This Row],[DONOR 24/25]]</f>
        <v>0</v>
      </c>
    </row>
    <row r="229" spans="1:30" ht="15" customHeight="1" x14ac:dyDescent="0.25">
      <c r="A229" s="180" t="s">
        <v>226</v>
      </c>
      <c r="B229" s="175" t="s">
        <v>1378</v>
      </c>
      <c r="C229" s="175" t="e">
        <f ca="1">PAProjects[[#This Row],[LINKING_CODE]]=_xlfn.CONCAT(PAProjects[[#This Row],[Project Code]]," ",PAProjects[[#This Row],[Project Name]])</f>
        <v>#NAME?</v>
      </c>
      <c r="D229" s="175" t="e">
        <f>VLOOKUP(PAProjects[[#This Row],[LINKING_CODE]],MasterTable[[Project Code and Name ]],1,FALSE)</f>
        <v>#N/A</v>
      </c>
      <c r="E229" s="175" t="s">
        <v>519</v>
      </c>
      <c r="F229" s="175" t="s">
        <v>960</v>
      </c>
      <c r="G229" s="175" t="s">
        <v>303</v>
      </c>
      <c r="H229" s="175" t="str">
        <f>VLOOKUP(I229,'Program Codes'!C:D,2,FALSE)</f>
        <v>13</v>
      </c>
      <c r="I229" s="175" t="s">
        <v>1113</v>
      </c>
      <c r="J229" s="175" t="s">
        <v>1140</v>
      </c>
      <c r="K229" s="175" t="s">
        <v>695</v>
      </c>
      <c r="L229" s="175" t="str">
        <f t="shared" si="24"/>
        <v>Retooling</v>
      </c>
      <c r="M229" s="182">
        <v>44013</v>
      </c>
      <c r="N229" s="182">
        <v>45838</v>
      </c>
      <c r="O229" s="174">
        <v>22.3</v>
      </c>
      <c r="P229" s="174"/>
      <c r="Q229" s="174">
        <f t="shared" si="25"/>
        <v>22.3</v>
      </c>
      <c r="R229" s="174">
        <v>0</v>
      </c>
      <c r="S229" s="202">
        <f>O229/5</f>
        <v>4.46</v>
      </c>
      <c r="T229" s="175"/>
      <c r="U229" s="202">
        <f>PAProjects[[#This Row],[GOU 21/22]]+PAProjects[[#This Row],[DONOR 21/22]]</f>
        <v>4.46</v>
      </c>
      <c r="V229" s="202">
        <f>S229</f>
        <v>4.46</v>
      </c>
      <c r="W229" s="175"/>
      <c r="X229" s="202">
        <f>PAProjects[[#This Row],[GOU 22/23]]+PAProjects[[#This Row],[DONOR 22/23]]</f>
        <v>4.46</v>
      </c>
      <c r="Y229" s="202">
        <f>V229</f>
        <v>4.46</v>
      </c>
      <c r="Z229" s="175"/>
      <c r="AA229" s="202">
        <f t="shared" si="30"/>
        <v>4.46</v>
      </c>
      <c r="AB229" s="202">
        <f>Y229</f>
        <v>4.46</v>
      </c>
      <c r="AC229" s="175"/>
      <c r="AD229" s="202">
        <f>PAProjects[[#This Row],[GOU 24/25]]+PAProjects[[#This Row],[DONOR 24/25]]</f>
        <v>4.46</v>
      </c>
    </row>
    <row r="230" spans="1:30" ht="15" customHeight="1" x14ac:dyDescent="0.25">
      <c r="A230" s="180" t="s">
        <v>227</v>
      </c>
      <c r="B230" s="175" t="s">
        <v>1379</v>
      </c>
      <c r="C230" s="175" t="e">
        <f ca="1">PAProjects[[#This Row],[LINKING_CODE]]=_xlfn.CONCAT(PAProjects[[#This Row],[Project Code]]," ",PAProjects[[#This Row],[Project Name]])</f>
        <v>#NAME?</v>
      </c>
      <c r="D230" s="175" t="e">
        <f>VLOOKUP(PAProjects[[#This Row],[LINKING_CODE]],MasterTable[[Project Code and Name ]],1,FALSE)</f>
        <v>#N/A</v>
      </c>
      <c r="E230" s="175" t="s">
        <v>519</v>
      </c>
      <c r="F230" s="175" t="s">
        <v>960</v>
      </c>
      <c r="G230" s="175" t="s">
        <v>307</v>
      </c>
      <c r="H230" s="175" t="str">
        <f>VLOOKUP(I230,'Program Codes'!C:D,2,FALSE)</f>
        <v>13</v>
      </c>
      <c r="I230" s="175" t="s">
        <v>1113</v>
      </c>
      <c r="J230" s="175" t="s">
        <v>1141</v>
      </c>
      <c r="K230" s="175" t="s">
        <v>687</v>
      </c>
      <c r="L230" s="175" t="str">
        <f t="shared" si="24"/>
        <v>Retooling</v>
      </c>
      <c r="M230" s="182">
        <v>44013</v>
      </c>
      <c r="N230" s="182">
        <v>45838</v>
      </c>
      <c r="O230" s="174">
        <v>35.050031584000003</v>
      </c>
      <c r="P230" s="174"/>
      <c r="Q230" s="174">
        <f t="shared" si="25"/>
        <v>35.050031584000003</v>
      </c>
      <c r="R230" s="174">
        <v>0</v>
      </c>
      <c r="S230" s="202">
        <v>9.0239813669999993</v>
      </c>
      <c r="T230" s="175"/>
      <c r="U230" s="202">
        <f>PAProjects[[#This Row],[GOU 21/22]]+PAProjects[[#This Row],[DONOR 21/22]]</f>
        <v>9.0239813669999993</v>
      </c>
      <c r="V230" s="202">
        <v>5.0312852299999999</v>
      </c>
      <c r="W230" s="175"/>
      <c r="X230" s="202">
        <f>PAProjects[[#This Row],[GOU 22/23]]+PAProjects[[#This Row],[DONOR 22/23]]</f>
        <v>5.0312852299999999</v>
      </c>
      <c r="Y230" s="202">
        <v>5.6835598799999998</v>
      </c>
      <c r="Z230" s="175"/>
      <c r="AA230" s="202">
        <f t="shared" si="30"/>
        <v>5.6835598799999998</v>
      </c>
      <c r="AB230" s="202">
        <v>7.7061227499999996</v>
      </c>
      <c r="AC230" s="175"/>
      <c r="AD230" s="202">
        <f>PAProjects[[#This Row],[GOU 24/25]]+PAProjects[[#This Row],[DONOR 24/25]]</f>
        <v>7.7061227499999996</v>
      </c>
    </row>
    <row r="231" spans="1:30" ht="15" customHeight="1" x14ac:dyDescent="0.25">
      <c r="A231" s="180" t="s">
        <v>228</v>
      </c>
      <c r="B231" s="175" t="s">
        <v>1380</v>
      </c>
      <c r="C231" s="175" t="e">
        <f ca="1">PAProjects[[#This Row],[LINKING_CODE]]=_xlfn.CONCAT(PAProjects[[#This Row],[Project Code]]," ",PAProjects[[#This Row],[Project Name]])</f>
        <v>#NAME?</v>
      </c>
      <c r="D231" s="175" t="e">
        <f>VLOOKUP(PAProjects[[#This Row],[LINKING_CODE]],MasterTable[[Project Code and Name ]],1,FALSE)</f>
        <v>#N/A</v>
      </c>
      <c r="E231" s="175" t="s">
        <v>520</v>
      </c>
      <c r="F231" s="175" t="s">
        <v>975</v>
      </c>
      <c r="G231" s="175" t="s">
        <v>107</v>
      </c>
      <c r="H231" s="175" t="str">
        <f>VLOOKUP(I231,'Program Codes'!C:D,2,FALSE)</f>
        <v>13</v>
      </c>
      <c r="I231" s="175" t="s">
        <v>1113</v>
      </c>
      <c r="J231" s="175" t="s">
        <v>1144</v>
      </c>
      <c r="K231" s="175" t="s">
        <v>870</v>
      </c>
      <c r="L231" s="175" t="str">
        <f t="shared" si="24"/>
        <v>Retooling</v>
      </c>
      <c r="M231" s="182">
        <v>44013</v>
      </c>
      <c r="N231" s="182">
        <v>45838</v>
      </c>
      <c r="O231" s="204">
        <v>9.25</v>
      </c>
      <c r="P231" s="174"/>
      <c r="Q231" s="174">
        <f t="shared" si="25"/>
        <v>9.25</v>
      </c>
      <c r="R231" s="174">
        <v>0</v>
      </c>
      <c r="S231" s="202">
        <f t="shared" ref="S231:S257" si="31">O231/5</f>
        <v>1.85</v>
      </c>
      <c r="T231" s="175"/>
      <c r="U231" s="202">
        <f>PAProjects[[#This Row],[GOU 21/22]]+PAProjects[[#This Row],[DONOR 21/22]]</f>
        <v>1.85</v>
      </c>
      <c r="V231" s="202">
        <f t="shared" ref="V231:V257" si="32">S231</f>
        <v>1.85</v>
      </c>
      <c r="W231" s="175"/>
      <c r="X231" s="202">
        <f>PAProjects[[#This Row],[GOU 22/23]]+PAProjects[[#This Row],[DONOR 22/23]]</f>
        <v>1.85</v>
      </c>
      <c r="Y231" s="202">
        <f t="shared" ref="Y231:Y257" si="33">V231</f>
        <v>1.85</v>
      </c>
      <c r="Z231" s="175"/>
      <c r="AA231" s="202">
        <f t="shared" si="30"/>
        <v>1.85</v>
      </c>
      <c r="AB231" s="202">
        <f t="shared" ref="AB231:AB257" si="34">Y231</f>
        <v>1.85</v>
      </c>
      <c r="AC231" s="175"/>
      <c r="AD231" s="202">
        <f>PAProjects[[#This Row],[GOU 24/25]]+PAProjects[[#This Row],[DONOR 24/25]]</f>
        <v>1.85</v>
      </c>
    </row>
    <row r="232" spans="1:30" ht="15" customHeight="1" x14ac:dyDescent="0.25">
      <c r="A232" s="180" t="s">
        <v>229</v>
      </c>
      <c r="B232" s="175" t="s">
        <v>1381</v>
      </c>
      <c r="C232" s="175" t="e">
        <f ca="1">PAProjects[[#This Row],[LINKING_CODE]]=_xlfn.CONCAT(PAProjects[[#This Row],[Project Code]]," ",PAProjects[[#This Row],[Project Name]])</f>
        <v>#NAME?</v>
      </c>
      <c r="D232" s="175" t="e">
        <f>VLOOKUP(PAProjects[[#This Row],[LINKING_CODE]],MasterTable[[Project Code and Name ]],1,FALSE)</f>
        <v>#N/A</v>
      </c>
      <c r="E232" s="175" t="s">
        <v>520</v>
      </c>
      <c r="F232" s="175" t="s">
        <v>975</v>
      </c>
      <c r="G232" s="175" t="s">
        <v>114</v>
      </c>
      <c r="H232" s="175" t="str">
        <f>VLOOKUP(I232,'Program Codes'!C:D,2,FALSE)</f>
        <v>13</v>
      </c>
      <c r="I232" s="175" t="s">
        <v>1113</v>
      </c>
      <c r="J232" s="175" t="s">
        <v>1145</v>
      </c>
      <c r="K232" s="175" t="s">
        <v>732</v>
      </c>
      <c r="L232" s="175" t="str">
        <f t="shared" si="24"/>
        <v>Retooling</v>
      </c>
      <c r="M232" s="182">
        <v>44013</v>
      </c>
      <c r="N232" s="182">
        <v>44742</v>
      </c>
      <c r="O232" s="183">
        <v>5.65</v>
      </c>
      <c r="P232" s="174"/>
      <c r="Q232" s="174">
        <f t="shared" si="25"/>
        <v>5.65</v>
      </c>
      <c r="R232" s="174">
        <v>0</v>
      </c>
      <c r="S232" s="202">
        <f t="shared" si="31"/>
        <v>1.1300000000000001</v>
      </c>
      <c r="T232" s="175"/>
      <c r="U232" s="202">
        <f>PAProjects[[#This Row],[GOU 21/22]]+PAProjects[[#This Row],[DONOR 21/22]]</f>
        <v>1.1300000000000001</v>
      </c>
      <c r="V232" s="202">
        <f t="shared" si="32"/>
        <v>1.1300000000000001</v>
      </c>
      <c r="W232" s="175"/>
      <c r="X232" s="202">
        <f>PAProjects[[#This Row],[GOU 22/23]]+PAProjects[[#This Row],[DONOR 22/23]]</f>
        <v>1.1300000000000001</v>
      </c>
      <c r="Y232" s="202">
        <f t="shared" si="33"/>
        <v>1.1300000000000001</v>
      </c>
      <c r="Z232" s="175"/>
      <c r="AA232" s="202">
        <f t="shared" si="30"/>
        <v>1.1300000000000001</v>
      </c>
      <c r="AB232" s="202">
        <f t="shared" si="34"/>
        <v>1.1300000000000001</v>
      </c>
      <c r="AC232" s="175"/>
      <c r="AD232" s="202">
        <f>PAProjects[[#This Row],[GOU 24/25]]+PAProjects[[#This Row],[DONOR 24/25]]</f>
        <v>1.1300000000000001</v>
      </c>
    </row>
    <row r="233" spans="1:30" ht="15" customHeight="1" x14ac:dyDescent="0.25">
      <c r="A233" s="180" t="s">
        <v>230</v>
      </c>
      <c r="B233" s="175" t="s">
        <v>1382</v>
      </c>
      <c r="C233" s="175" t="e">
        <f ca="1">PAProjects[[#This Row],[LINKING_CODE]]=_xlfn.CONCAT(PAProjects[[#This Row],[Project Code]]," ",PAProjects[[#This Row],[Project Name]])</f>
        <v>#NAME?</v>
      </c>
      <c r="D233" s="175" t="e">
        <f>VLOOKUP(PAProjects[[#This Row],[LINKING_CODE]],MasterTable[[Project Code and Name ]],1,FALSE)</f>
        <v>#N/A</v>
      </c>
      <c r="E233" s="175" t="s">
        <v>520</v>
      </c>
      <c r="F233" s="175" t="s">
        <v>975</v>
      </c>
      <c r="G233" s="175" t="s">
        <v>115</v>
      </c>
      <c r="H233" s="175" t="str">
        <f>VLOOKUP(I233,'Program Codes'!C:D,2,FALSE)</f>
        <v>13</v>
      </c>
      <c r="I233" s="175" t="s">
        <v>1113</v>
      </c>
      <c r="J233" s="175" t="s">
        <v>1146</v>
      </c>
      <c r="K233" s="175" t="s">
        <v>730</v>
      </c>
      <c r="L233" s="175" t="str">
        <f t="shared" si="24"/>
        <v>Retooling</v>
      </c>
      <c r="M233" s="182">
        <v>44013</v>
      </c>
      <c r="N233" s="182">
        <v>44742</v>
      </c>
      <c r="O233" s="183">
        <v>47</v>
      </c>
      <c r="P233" s="174"/>
      <c r="Q233" s="174">
        <f t="shared" si="25"/>
        <v>47</v>
      </c>
      <c r="R233" s="174">
        <v>0</v>
      </c>
      <c r="S233" s="202">
        <f t="shared" si="31"/>
        <v>9.4</v>
      </c>
      <c r="T233" s="175"/>
      <c r="U233" s="202">
        <f>PAProjects[[#This Row],[GOU 21/22]]+PAProjects[[#This Row],[DONOR 21/22]]</f>
        <v>9.4</v>
      </c>
      <c r="V233" s="202">
        <f t="shared" si="32"/>
        <v>9.4</v>
      </c>
      <c r="W233" s="175"/>
      <c r="X233" s="202">
        <f>PAProjects[[#This Row],[GOU 22/23]]+PAProjects[[#This Row],[DONOR 22/23]]</f>
        <v>9.4</v>
      </c>
      <c r="Y233" s="202">
        <f t="shared" si="33"/>
        <v>9.4</v>
      </c>
      <c r="Z233" s="175"/>
      <c r="AA233" s="202">
        <f t="shared" si="30"/>
        <v>9.4</v>
      </c>
      <c r="AB233" s="202">
        <f t="shared" si="34"/>
        <v>9.4</v>
      </c>
      <c r="AC233" s="175"/>
      <c r="AD233" s="202">
        <f>PAProjects[[#This Row],[GOU 24/25]]+PAProjects[[#This Row],[DONOR 24/25]]</f>
        <v>9.4</v>
      </c>
    </row>
    <row r="234" spans="1:30" ht="15" customHeight="1" x14ac:dyDescent="0.25">
      <c r="A234" s="180" t="s">
        <v>231</v>
      </c>
      <c r="B234" s="175" t="s">
        <v>1383</v>
      </c>
      <c r="C234" s="175" t="e">
        <f ca="1">PAProjects[[#This Row],[LINKING_CODE]]=_xlfn.CONCAT(PAProjects[[#This Row],[Project Code]]," ",PAProjects[[#This Row],[Project Name]])</f>
        <v>#NAME?</v>
      </c>
      <c r="D234" s="175" t="e">
        <f>VLOOKUP(PAProjects[[#This Row],[LINKING_CODE]],MasterTable[[Project Code and Name ]],1,FALSE)</f>
        <v>#N/A</v>
      </c>
      <c r="E234" s="175" t="s">
        <v>520</v>
      </c>
      <c r="F234" s="175" t="s">
        <v>975</v>
      </c>
      <c r="G234" s="175" t="s">
        <v>116</v>
      </c>
      <c r="H234" s="175" t="str">
        <f>VLOOKUP(I234,'Program Codes'!C:D,2,FALSE)</f>
        <v>13</v>
      </c>
      <c r="I234" s="175" t="s">
        <v>1113</v>
      </c>
      <c r="J234" s="175" t="s">
        <v>1147</v>
      </c>
      <c r="K234" s="175" t="s">
        <v>729</v>
      </c>
      <c r="L234" s="175" t="str">
        <f t="shared" si="24"/>
        <v>Retooling</v>
      </c>
      <c r="M234" s="182">
        <v>44013</v>
      </c>
      <c r="N234" s="182">
        <v>44742</v>
      </c>
      <c r="O234" s="183">
        <v>10.9</v>
      </c>
      <c r="P234" s="174"/>
      <c r="Q234" s="174">
        <f t="shared" si="25"/>
        <v>10.9</v>
      </c>
      <c r="R234" s="174">
        <v>0</v>
      </c>
      <c r="S234" s="202">
        <f t="shared" si="31"/>
        <v>2.1800000000000002</v>
      </c>
      <c r="T234" s="175"/>
      <c r="U234" s="202">
        <f>PAProjects[[#This Row],[GOU 21/22]]+PAProjects[[#This Row],[DONOR 21/22]]</f>
        <v>2.1800000000000002</v>
      </c>
      <c r="V234" s="202">
        <f t="shared" si="32"/>
        <v>2.1800000000000002</v>
      </c>
      <c r="W234" s="175"/>
      <c r="X234" s="202">
        <f>PAProjects[[#This Row],[GOU 22/23]]+PAProjects[[#This Row],[DONOR 22/23]]</f>
        <v>2.1800000000000002</v>
      </c>
      <c r="Y234" s="202">
        <f t="shared" si="33"/>
        <v>2.1800000000000002</v>
      </c>
      <c r="Z234" s="175"/>
      <c r="AA234" s="202">
        <f t="shared" si="30"/>
        <v>2.1800000000000002</v>
      </c>
      <c r="AB234" s="202">
        <f t="shared" si="34"/>
        <v>2.1800000000000002</v>
      </c>
      <c r="AC234" s="175"/>
      <c r="AD234" s="202">
        <f>PAProjects[[#This Row],[GOU 24/25]]+PAProjects[[#This Row],[DONOR 24/25]]</f>
        <v>2.1800000000000002</v>
      </c>
    </row>
    <row r="235" spans="1:30" ht="15" customHeight="1" x14ac:dyDescent="0.25">
      <c r="A235" s="180" t="s">
        <v>232</v>
      </c>
      <c r="B235" s="175" t="s">
        <v>1384</v>
      </c>
      <c r="C235" s="175" t="e">
        <f ca="1">PAProjects[[#This Row],[LINKING_CODE]]=_xlfn.CONCAT(PAProjects[[#This Row],[Project Code]]," ",PAProjects[[#This Row],[Project Name]])</f>
        <v>#NAME?</v>
      </c>
      <c r="D235" s="175" t="e">
        <f>VLOOKUP(PAProjects[[#This Row],[LINKING_CODE]],MasterTable[[Project Code and Name ]],1,FALSE)</f>
        <v>#N/A</v>
      </c>
      <c r="E235" s="175" t="s">
        <v>520</v>
      </c>
      <c r="F235" s="175" t="s">
        <v>975</v>
      </c>
      <c r="G235" s="175" t="s">
        <v>134</v>
      </c>
      <c r="H235" s="175" t="str">
        <f>VLOOKUP(I235,'Program Codes'!C:D,2,FALSE)</f>
        <v>13</v>
      </c>
      <c r="I235" s="175" t="s">
        <v>1113</v>
      </c>
      <c r="J235" s="175" t="s">
        <v>1148</v>
      </c>
      <c r="K235" s="175" t="s">
        <v>749</v>
      </c>
      <c r="L235" s="175" t="str">
        <f t="shared" si="24"/>
        <v>Retooling</v>
      </c>
      <c r="M235" s="182">
        <v>44013</v>
      </c>
      <c r="N235" s="182">
        <v>44742</v>
      </c>
      <c r="O235" s="183">
        <v>14.8</v>
      </c>
      <c r="P235" s="174"/>
      <c r="Q235" s="174">
        <f t="shared" si="25"/>
        <v>14.8</v>
      </c>
      <c r="R235" s="174">
        <v>0</v>
      </c>
      <c r="S235" s="202">
        <f t="shared" si="31"/>
        <v>2.96</v>
      </c>
      <c r="T235" s="175"/>
      <c r="U235" s="202">
        <f>PAProjects[[#This Row],[GOU 21/22]]+PAProjects[[#This Row],[DONOR 21/22]]</f>
        <v>2.96</v>
      </c>
      <c r="V235" s="202">
        <f t="shared" si="32"/>
        <v>2.96</v>
      </c>
      <c r="W235" s="175"/>
      <c r="X235" s="202">
        <f>PAProjects[[#This Row],[GOU 22/23]]+PAProjects[[#This Row],[DONOR 22/23]]</f>
        <v>2.96</v>
      </c>
      <c r="Y235" s="202">
        <f t="shared" si="33"/>
        <v>2.96</v>
      </c>
      <c r="Z235" s="175"/>
      <c r="AA235" s="202">
        <f t="shared" si="30"/>
        <v>2.96</v>
      </c>
      <c r="AB235" s="202">
        <f t="shared" si="34"/>
        <v>2.96</v>
      </c>
      <c r="AC235" s="175"/>
      <c r="AD235" s="202">
        <f>PAProjects[[#This Row],[GOU 24/25]]+PAProjects[[#This Row],[DONOR 24/25]]</f>
        <v>2.96</v>
      </c>
    </row>
    <row r="236" spans="1:30" ht="15" customHeight="1" x14ac:dyDescent="0.25">
      <c r="A236" s="180" t="s">
        <v>233</v>
      </c>
      <c r="B236" s="175" t="s">
        <v>1385</v>
      </c>
      <c r="C236" s="175" t="e">
        <f ca="1">PAProjects[[#This Row],[LINKING_CODE]]=_xlfn.CONCAT(PAProjects[[#This Row],[Project Code]]," ",PAProjects[[#This Row],[Project Name]])</f>
        <v>#NAME?</v>
      </c>
      <c r="D236" s="175" t="e">
        <f>VLOOKUP(PAProjects[[#This Row],[LINKING_CODE]],MasterTable[[Project Code and Name ]],1,FALSE)</f>
        <v>#N/A</v>
      </c>
      <c r="E236" s="175" t="s">
        <v>520</v>
      </c>
      <c r="F236" s="175" t="s">
        <v>975</v>
      </c>
      <c r="G236" s="175" t="s">
        <v>151</v>
      </c>
      <c r="H236" s="175" t="str">
        <f>VLOOKUP(I236,'Program Codes'!C:D,2,FALSE)</f>
        <v>13</v>
      </c>
      <c r="I236" s="175" t="s">
        <v>1113</v>
      </c>
      <c r="J236" s="175" t="s">
        <v>1149</v>
      </c>
      <c r="K236" s="175" t="s">
        <v>752</v>
      </c>
      <c r="L236" s="175" t="str">
        <f t="shared" si="24"/>
        <v>Retooling</v>
      </c>
      <c r="M236" s="182">
        <v>44013</v>
      </c>
      <c r="N236" s="182">
        <v>44742</v>
      </c>
      <c r="O236" s="183">
        <v>30.8</v>
      </c>
      <c r="P236" s="174"/>
      <c r="Q236" s="174">
        <f t="shared" si="25"/>
        <v>30.8</v>
      </c>
      <c r="R236" s="174">
        <v>0</v>
      </c>
      <c r="S236" s="202">
        <f t="shared" si="31"/>
        <v>6.16</v>
      </c>
      <c r="T236" s="175"/>
      <c r="U236" s="202">
        <f>PAProjects[[#This Row],[GOU 21/22]]+PAProjects[[#This Row],[DONOR 21/22]]</f>
        <v>6.16</v>
      </c>
      <c r="V236" s="202">
        <f t="shared" si="32"/>
        <v>6.16</v>
      </c>
      <c r="W236" s="175"/>
      <c r="X236" s="202">
        <f>PAProjects[[#This Row],[GOU 22/23]]+PAProjects[[#This Row],[DONOR 22/23]]</f>
        <v>6.16</v>
      </c>
      <c r="Y236" s="202">
        <f t="shared" si="33"/>
        <v>6.16</v>
      </c>
      <c r="Z236" s="175"/>
      <c r="AA236" s="202">
        <f t="shared" si="30"/>
        <v>6.16</v>
      </c>
      <c r="AB236" s="202">
        <f t="shared" si="34"/>
        <v>6.16</v>
      </c>
      <c r="AC236" s="175"/>
      <c r="AD236" s="202">
        <f>PAProjects[[#This Row],[GOU 24/25]]+PAProjects[[#This Row],[DONOR 24/25]]</f>
        <v>6.16</v>
      </c>
    </row>
    <row r="237" spans="1:30" ht="15" customHeight="1" x14ac:dyDescent="0.25">
      <c r="A237" s="180" t="s">
        <v>234</v>
      </c>
      <c r="B237" s="175" t="s">
        <v>1386</v>
      </c>
      <c r="C237" s="175" t="e">
        <f ca="1">PAProjects[[#This Row],[LINKING_CODE]]=_xlfn.CONCAT(PAProjects[[#This Row],[Project Code]]," ",PAProjects[[#This Row],[Project Name]])</f>
        <v>#NAME?</v>
      </c>
      <c r="D237" s="175" t="e">
        <f>VLOOKUP(PAProjects[[#This Row],[LINKING_CODE]],MasterTable[[Project Code and Name ]],1,FALSE)</f>
        <v>#N/A</v>
      </c>
      <c r="E237" s="175" t="s">
        <v>520</v>
      </c>
      <c r="F237" s="175" t="s">
        <v>975</v>
      </c>
      <c r="G237" s="175" t="s">
        <v>161</v>
      </c>
      <c r="H237" s="175" t="str">
        <f>VLOOKUP(I237,'Program Codes'!C:D,2,FALSE)</f>
        <v>13</v>
      </c>
      <c r="I237" s="175" t="s">
        <v>1113</v>
      </c>
      <c r="J237" s="175" t="s">
        <v>1150</v>
      </c>
      <c r="K237" s="175" t="s">
        <v>751</v>
      </c>
      <c r="L237" s="175" t="str">
        <f t="shared" si="24"/>
        <v>Retooling</v>
      </c>
      <c r="M237" s="182">
        <v>44013</v>
      </c>
      <c r="N237" s="182">
        <v>44742</v>
      </c>
      <c r="O237" s="183">
        <v>24.8</v>
      </c>
      <c r="P237" s="174"/>
      <c r="Q237" s="174">
        <f t="shared" si="25"/>
        <v>24.8</v>
      </c>
      <c r="R237" s="174">
        <v>0</v>
      </c>
      <c r="S237" s="202">
        <f t="shared" si="31"/>
        <v>4.96</v>
      </c>
      <c r="T237" s="175"/>
      <c r="U237" s="202">
        <f>PAProjects[[#This Row],[GOU 21/22]]+PAProjects[[#This Row],[DONOR 21/22]]</f>
        <v>4.96</v>
      </c>
      <c r="V237" s="202">
        <f t="shared" si="32"/>
        <v>4.96</v>
      </c>
      <c r="W237" s="175"/>
      <c r="X237" s="202">
        <f>PAProjects[[#This Row],[GOU 22/23]]+PAProjects[[#This Row],[DONOR 22/23]]</f>
        <v>4.96</v>
      </c>
      <c r="Y237" s="202">
        <f t="shared" si="33"/>
        <v>4.96</v>
      </c>
      <c r="Z237" s="175"/>
      <c r="AA237" s="202">
        <f t="shared" si="30"/>
        <v>4.96</v>
      </c>
      <c r="AB237" s="202">
        <f t="shared" si="34"/>
        <v>4.96</v>
      </c>
      <c r="AC237" s="175"/>
      <c r="AD237" s="202">
        <f>PAProjects[[#This Row],[GOU 24/25]]+PAProjects[[#This Row],[DONOR 24/25]]</f>
        <v>4.96</v>
      </c>
    </row>
    <row r="238" spans="1:30" ht="15" customHeight="1" x14ac:dyDescent="0.25">
      <c r="A238" s="180" t="s">
        <v>235</v>
      </c>
      <c r="B238" s="175" t="s">
        <v>1387</v>
      </c>
      <c r="C238" s="175" t="e">
        <f ca="1">PAProjects[[#This Row],[LINKING_CODE]]=_xlfn.CONCAT(PAProjects[[#This Row],[Project Code]]," ",PAProjects[[#This Row],[Project Name]])</f>
        <v>#NAME?</v>
      </c>
      <c r="D238" s="175" t="e">
        <f>VLOOKUP(PAProjects[[#This Row],[LINKING_CODE]],MasterTable[[Project Code and Name ]],1,FALSE)</f>
        <v>#N/A</v>
      </c>
      <c r="E238" s="175" t="s">
        <v>520</v>
      </c>
      <c r="F238" s="175" t="s">
        <v>975</v>
      </c>
      <c r="G238" s="175" t="s">
        <v>162</v>
      </c>
      <c r="H238" s="175" t="str">
        <f>VLOOKUP(I238,'Program Codes'!C:D,2,FALSE)</f>
        <v>13</v>
      </c>
      <c r="I238" s="175" t="s">
        <v>1113</v>
      </c>
      <c r="J238" s="175" t="s">
        <v>1151</v>
      </c>
      <c r="K238" s="175" t="s">
        <v>734</v>
      </c>
      <c r="L238" s="175" t="str">
        <f t="shared" si="24"/>
        <v>Retooling</v>
      </c>
      <c r="M238" s="182">
        <v>44013</v>
      </c>
      <c r="N238" s="182">
        <v>44742</v>
      </c>
      <c r="O238" s="183">
        <v>5.53</v>
      </c>
      <c r="P238" s="174"/>
      <c r="Q238" s="174">
        <f t="shared" si="25"/>
        <v>5.53</v>
      </c>
      <c r="R238" s="174">
        <v>0</v>
      </c>
      <c r="S238" s="202">
        <f t="shared" si="31"/>
        <v>1.1060000000000001</v>
      </c>
      <c r="T238" s="175"/>
      <c r="U238" s="202">
        <f>PAProjects[[#This Row],[GOU 21/22]]+PAProjects[[#This Row],[DONOR 21/22]]</f>
        <v>1.1060000000000001</v>
      </c>
      <c r="V238" s="202">
        <f t="shared" si="32"/>
        <v>1.1060000000000001</v>
      </c>
      <c r="W238" s="175"/>
      <c r="X238" s="202">
        <f>PAProjects[[#This Row],[GOU 22/23]]+PAProjects[[#This Row],[DONOR 22/23]]</f>
        <v>1.1060000000000001</v>
      </c>
      <c r="Y238" s="202">
        <f t="shared" si="33"/>
        <v>1.1060000000000001</v>
      </c>
      <c r="Z238" s="175"/>
      <c r="AA238" s="202">
        <f t="shared" si="30"/>
        <v>1.1060000000000001</v>
      </c>
      <c r="AB238" s="202">
        <f t="shared" si="34"/>
        <v>1.1060000000000001</v>
      </c>
      <c r="AC238" s="175"/>
      <c r="AD238" s="202">
        <f>PAProjects[[#This Row],[GOU 24/25]]+PAProjects[[#This Row],[DONOR 24/25]]</f>
        <v>1.1060000000000001</v>
      </c>
    </row>
    <row r="239" spans="1:30" ht="15" customHeight="1" x14ac:dyDescent="0.25">
      <c r="A239" s="180" t="s">
        <v>236</v>
      </c>
      <c r="B239" s="175" t="s">
        <v>1388</v>
      </c>
      <c r="C239" s="175" t="e">
        <f ca="1">PAProjects[[#This Row],[LINKING_CODE]]=_xlfn.CONCAT(PAProjects[[#This Row],[Project Code]]," ",PAProjects[[#This Row],[Project Name]])</f>
        <v>#NAME?</v>
      </c>
      <c r="D239" s="175" t="e">
        <f>VLOOKUP(PAProjects[[#This Row],[LINKING_CODE]],MasterTable[[Project Code and Name ]],1,FALSE)</f>
        <v>#N/A</v>
      </c>
      <c r="E239" s="175" t="s">
        <v>520</v>
      </c>
      <c r="F239" s="175" t="s">
        <v>975</v>
      </c>
      <c r="G239" s="175" t="s">
        <v>163</v>
      </c>
      <c r="H239" s="175" t="str">
        <f>VLOOKUP(I239,'Program Codes'!C:D,2,FALSE)</f>
        <v>13</v>
      </c>
      <c r="I239" s="175" t="s">
        <v>1113</v>
      </c>
      <c r="J239" s="175" t="s">
        <v>1152</v>
      </c>
      <c r="K239" s="175" t="s">
        <v>1153</v>
      </c>
      <c r="L239" s="175" t="str">
        <f t="shared" si="24"/>
        <v>Retooling</v>
      </c>
      <c r="M239" s="182">
        <v>44013</v>
      </c>
      <c r="N239" s="182">
        <v>44742</v>
      </c>
      <c r="O239" s="183">
        <v>4.4000000000000004</v>
      </c>
      <c r="P239" s="174"/>
      <c r="Q239" s="174">
        <f t="shared" si="25"/>
        <v>4.4000000000000004</v>
      </c>
      <c r="R239" s="174">
        <v>0</v>
      </c>
      <c r="S239" s="202">
        <f t="shared" si="31"/>
        <v>0.88000000000000012</v>
      </c>
      <c r="T239" s="175"/>
      <c r="U239" s="202">
        <f>PAProjects[[#This Row],[GOU 21/22]]+PAProjects[[#This Row],[DONOR 21/22]]</f>
        <v>0.88000000000000012</v>
      </c>
      <c r="V239" s="202">
        <f t="shared" si="32"/>
        <v>0.88000000000000012</v>
      </c>
      <c r="W239" s="175"/>
      <c r="X239" s="202">
        <f>PAProjects[[#This Row],[GOU 22/23]]+PAProjects[[#This Row],[DONOR 22/23]]</f>
        <v>0.88000000000000012</v>
      </c>
      <c r="Y239" s="202">
        <f t="shared" si="33"/>
        <v>0.88000000000000012</v>
      </c>
      <c r="Z239" s="175"/>
      <c r="AA239" s="202">
        <f t="shared" si="30"/>
        <v>0.88000000000000012</v>
      </c>
      <c r="AB239" s="202">
        <f t="shared" si="34"/>
        <v>0.88000000000000012</v>
      </c>
      <c r="AC239" s="175"/>
      <c r="AD239" s="202">
        <f>PAProjects[[#This Row],[GOU 24/25]]+PAProjects[[#This Row],[DONOR 24/25]]</f>
        <v>0.88000000000000012</v>
      </c>
    </row>
    <row r="240" spans="1:30" ht="15" customHeight="1" x14ac:dyDescent="0.25">
      <c r="A240" s="180" t="s">
        <v>237</v>
      </c>
      <c r="B240" s="175" t="s">
        <v>1389</v>
      </c>
      <c r="C240" s="175" t="e">
        <f ca="1">PAProjects[[#This Row],[LINKING_CODE]]=_xlfn.CONCAT(PAProjects[[#This Row],[Project Code]]," ",PAProjects[[#This Row],[Project Name]])</f>
        <v>#NAME?</v>
      </c>
      <c r="D240" s="175" t="e">
        <f>VLOOKUP(PAProjects[[#This Row],[LINKING_CODE]],MasterTable[[Project Code and Name ]],1,FALSE)</f>
        <v>#N/A</v>
      </c>
      <c r="E240" s="175" t="s">
        <v>520</v>
      </c>
      <c r="F240" s="175" t="s">
        <v>975</v>
      </c>
      <c r="G240" s="175" t="s">
        <v>164</v>
      </c>
      <c r="H240" s="175" t="str">
        <f>VLOOKUP(I240,'Program Codes'!C:D,2,FALSE)</f>
        <v>13</v>
      </c>
      <c r="I240" s="175" t="s">
        <v>1113</v>
      </c>
      <c r="J240" s="175" t="s">
        <v>1154</v>
      </c>
      <c r="K240" s="175" t="s">
        <v>738</v>
      </c>
      <c r="L240" s="175" t="str">
        <f t="shared" si="24"/>
        <v>Retooling</v>
      </c>
      <c r="M240" s="182">
        <v>44013</v>
      </c>
      <c r="N240" s="182">
        <v>44742</v>
      </c>
      <c r="O240" s="183">
        <v>1.8</v>
      </c>
      <c r="P240" s="174"/>
      <c r="Q240" s="174">
        <f t="shared" si="25"/>
        <v>1.8</v>
      </c>
      <c r="R240" s="174">
        <v>0</v>
      </c>
      <c r="S240" s="202">
        <f t="shared" si="31"/>
        <v>0.36</v>
      </c>
      <c r="T240" s="175"/>
      <c r="U240" s="202">
        <f>PAProjects[[#This Row],[GOU 21/22]]+PAProjects[[#This Row],[DONOR 21/22]]</f>
        <v>0.36</v>
      </c>
      <c r="V240" s="202">
        <f t="shared" si="32"/>
        <v>0.36</v>
      </c>
      <c r="W240" s="175"/>
      <c r="X240" s="202">
        <f>PAProjects[[#This Row],[GOU 22/23]]+PAProjects[[#This Row],[DONOR 22/23]]</f>
        <v>0.36</v>
      </c>
      <c r="Y240" s="202">
        <f t="shared" si="33"/>
        <v>0.36</v>
      </c>
      <c r="Z240" s="175"/>
      <c r="AA240" s="202">
        <f t="shared" si="30"/>
        <v>0.36</v>
      </c>
      <c r="AB240" s="202">
        <f t="shared" si="34"/>
        <v>0.36</v>
      </c>
      <c r="AC240" s="175"/>
      <c r="AD240" s="202">
        <f>PAProjects[[#This Row],[GOU 24/25]]+PAProjects[[#This Row],[DONOR 24/25]]</f>
        <v>0.36</v>
      </c>
    </row>
    <row r="241" spans="1:30" ht="15" customHeight="1" x14ac:dyDescent="0.25">
      <c r="A241" s="180" t="s">
        <v>238</v>
      </c>
      <c r="B241" s="175" t="s">
        <v>1390</v>
      </c>
      <c r="C241" s="175" t="e">
        <f ca="1">PAProjects[[#This Row],[LINKING_CODE]]=_xlfn.CONCAT(PAProjects[[#This Row],[Project Code]]," ",PAProjects[[#This Row],[Project Name]])</f>
        <v>#NAME?</v>
      </c>
      <c r="D241" s="175" t="e">
        <f>VLOOKUP(PAProjects[[#This Row],[LINKING_CODE]],MasterTable[[Project Code and Name ]],1,FALSE)</f>
        <v>#N/A</v>
      </c>
      <c r="E241" s="175" t="s">
        <v>520</v>
      </c>
      <c r="F241" s="175" t="s">
        <v>975</v>
      </c>
      <c r="G241" s="175" t="s">
        <v>165</v>
      </c>
      <c r="H241" s="175" t="str">
        <f>VLOOKUP(I241,'Program Codes'!C:D,2,FALSE)</f>
        <v>13</v>
      </c>
      <c r="I241" s="175" t="s">
        <v>1113</v>
      </c>
      <c r="J241" s="175" t="s">
        <v>1155</v>
      </c>
      <c r="K241" s="175" t="s">
        <v>745</v>
      </c>
      <c r="L241" s="175" t="str">
        <f t="shared" si="24"/>
        <v>Retooling</v>
      </c>
      <c r="M241" s="182">
        <v>44013</v>
      </c>
      <c r="N241" s="182">
        <v>44742</v>
      </c>
      <c r="O241" s="183">
        <v>4</v>
      </c>
      <c r="P241" s="174"/>
      <c r="Q241" s="174">
        <f t="shared" si="25"/>
        <v>4</v>
      </c>
      <c r="R241" s="174">
        <v>0</v>
      </c>
      <c r="S241" s="202">
        <f t="shared" si="31"/>
        <v>0.8</v>
      </c>
      <c r="T241" s="175"/>
      <c r="U241" s="202">
        <f>PAProjects[[#This Row],[GOU 21/22]]+PAProjects[[#This Row],[DONOR 21/22]]</f>
        <v>0.8</v>
      </c>
      <c r="V241" s="202">
        <f t="shared" si="32"/>
        <v>0.8</v>
      </c>
      <c r="W241" s="175"/>
      <c r="X241" s="202">
        <f>PAProjects[[#This Row],[GOU 22/23]]+PAProjects[[#This Row],[DONOR 22/23]]</f>
        <v>0.8</v>
      </c>
      <c r="Y241" s="202">
        <f t="shared" si="33"/>
        <v>0.8</v>
      </c>
      <c r="Z241" s="175"/>
      <c r="AA241" s="202">
        <f t="shared" si="30"/>
        <v>0.8</v>
      </c>
      <c r="AB241" s="202">
        <f t="shared" si="34"/>
        <v>0.8</v>
      </c>
      <c r="AC241" s="175"/>
      <c r="AD241" s="202">
        <f>PAProjects[[#This Row],[GOU 24/25]]+PAProjects[[#This Row],[DONOR 24/25]]</f>
        <v>0.8</v>
      </c>
    </row>
    <row r="242" spans="1:30" ht="15" customHeight="1" x14ac:dyDescent="0.25">
      <c r="A242" s="180" t="s">
        <v>239</v>
      </c>
      <c r="B242" s="175" t="s">
        <v>1391</v>
      </c>
      <c r="C242" s="175" t="e">
        <f ca="1">PAProjects[[#This Row],[LINKING_CODE]]=_xlfn.CONCAT(PAProjects[[#This Row],[Project Code]]," ",PAProjects[[#This Row],[Project Name]])</f>
        <v>#NAME?</v>
      </c>
      <c r="D242" s="175" t="e">
        <f>VLOOKUP(PAProjects[[#This Row],[LINKING_CODE]],MasterTable[[Project Code and Name ]],1,FALSE)</f>
        <v>#N/A</v>
      </c>
      <c r="E242" s="175" t="s">
        <v>520</v>
      </c>
      <c r="F242" s="175" t="s">
        <v>975</v>
      </c>
      <c r="G242" s="175" t="s">
        <v>166</v>
      </c>
      <c r="H242" s="175" t="str">
        <f>VLOOKUP(I242,'Program Codes'!C:D,2,FALSE)</f>
        <v>13</v>
      </c>
      <c r="I242" s="175" t="s">
        <v>1113</v>
      </c>
      <c r="J242" s="175" t="s">
        <v>1156</v>
      </c>
      <c r="K242" s="175" t="s">
        <v>744</v>
      </c>
      <c r="L242" s="175" t="str">
        <f t="shared" si="24"/>
        <v>Retooling</v>
      </c>
      <c r="M242" s="182">
        <v>44013</v>
      </c>
      <c r="N242" s="182">
        <v>44742</v>
      </c>
      <c r="O242" s="183">
        <v>4.8</v>
      </c>
      <c r="P242" s="174"/>
      <c r="Q242" s="174">
        <f t="shared" si="25"/>
        <v>4.8</v>
      </c>
      <c r="R242" s="174">
        <v>0</v>
      </c>
      <c r="S242" s="202">
        <f t="shared" si="31"/>
        <v>0.96</v>
      </c>
      <c r="T242" s="175"/>
      <c r="U242" s="202">
        <f>PAProjects[[#This Row],[GOU 21/22]]+PAProjects[[#This Row],[DONOR 21/22]]</f>
        <v>0.96</v>
      </c>
      <c r="V242" s="202">
        <f t="shared" si="32"/>
        <v>0.96</v>
      </c>
      <c r="W242" s="175"/>
      <c r="X242" s="202">
        <f>PAProjects[[#This Row],[GOU 22/23]]+PAProjects[[#This Row],[DONOR 22/23]]</f>
        <v>0.96</v>
      </c>
      <c r="Y242" s="202">
        <f t="shared" si="33"/>
        <v>0.96</v>
      </c>
      <c r="Z242" s="175"/>
      <c r="AA242" s="202">
        <f t="shared" si="30"/>
        <v>0.96</v>
      </c>
      <c r="AB242" s="202">
        <f t="shared" si="34"/>
        <v>0.96</v>
      </c>
      <c r="AC242" s="175"/>
      <c r="AD242" s="202">
        <f>PAProjects[[#This Row],[GOU 24/25]]+PAProjects[[#This Row],[DONOR 24/25]]</f>
        <v>0.96</v>
      </c>
    </row>
    <row r="243" spans="1:30" ht="15" customHeight="1" x14ac:dyDescent="0.25">
      <c r="A243" s="180" t="s">
        <v>240</v>
      </c>
      <c r="B243" s="175" t="s">
        <v>1392</v>
      </c>
      <c r="C243" s="175" t="e">
        <f ca="1">PAProjects[[#This Row],[LINKING_CODE]]=_xlfn.CONCAT(PAProjects[[#This Row],[Project Code]]," ",PAProjects[[#This Row],[Project Name]])</f>
        <v>#NAME?</v>
      </c>
      <c r="D243" s="175" t="e">
        <f>VLOOKUP(PAProjects[[#This Row],[LINKING_CODE]],MasterTable[[Project Code and Name ]],1,FALSE)</f>
        <v>#N/A</v>
      </c>
      <c r="E243" s="175" t="s">
        <v>520</v>
      </c>
      <c r="F243" s="175" t="s">
        <v>975</v>
      </c>
      <c r="G243" s="175" t="s">
        <v>167</v>
      </c>
      <c r="H243" s="175" t="str">
        <f>VLOOKUP(I243,'Program Codes'!C:D,2,FALSE)</f>
        <v>13</v>
      </c>
      <c r="I243" s="175" t="s">
        <v>1113</v>
      </c>
      <c r="J243" s="175" t="s">
        <v>1157</v>
      </c>
      <c r="K243" s="175" t="s">
        <v>750</v>
      </c>
      <c r="L243" s="175" t="str">
        <f t="shared" si="24"/>
        <v>Retooling</v>
      </c>
      <c r="M243" s="182">
        <v>44013</v>
      </c>
      <c r="N243" s="182">
        <v>44742</v>
      </c>
      <c r="O243" s="174">
        <v>200</v>
      </c>
      <c r="P243" s="174"/>
      <c r="Q243" s="174">
        <f t="shared" si="25"/>
        <v>200</v>
      </c>
      <c r="R243" s="174">
        <v>0</v>
      </c>
      <c r="S243" s="202">
        <f t="shared" si="31"/>
        <v>40</v>
      </c>
      <c r="T243" s="175"/>
      <c r="U243" s="202">
        <f>PAProjects[[#This Row],[GOU 21/22]]+PAProjects[[#This Row],[DONOR 21/22]]</f>
        <v>40</v>
      </c>
      <c r="V243" s="202">
        <f t="shared" si="32"/>
        <v>40</v>
      </c>
      <c r="W243" s="175"/>
      <c r="X243" s="202">
        <f>PAProjects[[#This Row],[GOU 22/23]]+PAProjects[[#This Row],[DONOR 22/23]]</f>
        <v>40</v>
      </c>
      <c r="Y243" s="202">
        <f t="shared" si="33"/>
        <v>40</v>
      </c>
      <c r="Z243" s="175"/>
      <c r="AA243" s="202">
        <f t="shared" si="30"/>
        <v>40</v>
      </c>
      <c r="AB243" s="202">
        <f t="shared" si="34"/>
        <v>40</v>
      </c>
      <c r="AC243" s="175"/>
      <c r="AD243" s="202">
        <f>PAProjects[[#This Row],[GOU 24/25]]+PAProjects[[#This Row],[DONOR 24/25]]</f>
        <v>40</v>
      </c>
    </row>
    <row r="244" spans="1:30" ht="15" customHeight="1" x14ac:dyDescent="0.25">
      <c r="A244" s="180" t="s">
        <v>241</v>
      </c>
      <c r="B244" s="175" t="s">
        <v>1393</v>
      </c>
      <c r="C244" s="175" t="e">
        <f ca="1">PAProjects[[#This Row],[LINKING_CODE]]=_xlfn.CONCAT(PAProjects[[#This Row],[Project Code]]," ",PAProjects[[#This Row],[Project Name]])</f>
        <v>#NAME?</v>
      </c>
      <c r="D244" s="175" t="e">
        <f>VLOOKUP(PAProjects[[#This Row],[LINKING_CODE]],MasterTable[[Project Code and Name ]],1,FALSE)</f>
        <v>#N/A</v>
      </c>
      <c r="E244" s="175" t="s">
        <v>520</v>
      </c>
      <c r="F244" s="175" t="s">
        <v>975</v>
      </c>
      <c r="G244" s="175" t="s">
        <v>168</v>
      </c>
      <c r="H244" s="175" t="str">
        <f>VLOOKUP(I244,'Program Codes'!C:D,2,FALSE)</f>
        <v>13</v>
      </c>
      <c r="I244" s="175" t="s">
        <v>1113</v>
      </c>
      <c r="J244" s="175" t="s">
        <v>1158</v>
      </c>
      <c r="K244" s="175" t="s">
        <v>742</v>
      </c>
      <c r="L244" s="175" t="str">
        <f t="shared" si="24"/>
        <v>Retooling</v>
      </c>
      <c r="M244" s="182">
        <v>44013</v>
      </c>
      <c r="N244" s="182">
        <v>44742</v>
      </c>
      <c r="O244" s="174">
        <v>5</v>
      </c>
      <c r="P244" s="174"/>
      <c r="Q244" s="174">
        <f t="shared" ref="Q244:Q275" si="35">SUM(O244:P244)</f>
        <v>5</v>
      </c>
      <c r="R244" s="174">
        <v>0</v>
      </c>
      <c r="S244" s="202">
        <f t="shared" si="31"/>
        <v>1</v>
      </c>
      <c r="T244" s="175"/>
      <c r="U244" s="202">
        <f>PAProjects[[#This Row],[GOU 21/22]]+PAProjects[[#This Row],[DONOR 21/22]]</f>
        <v>1</v>
      </c>
      <c r="V244" s="202">
        <f t="shared" si="32"/>
        <v>1</v>
      </c>
      <c r="W244" s="175"/>
      <c r="X244" s="202">
        <f>PAProjects[[#This Row],[GOU 22/23]]+PAProjects[[#This Row],[DONOR 22/23]]</f>
        <v>1</v>
      </c>
      <c r="Y244" s="202">
        <f t="shared" si="33"/>
        <v>1</v>
      </c>
      <c r="Z244" s="175"/>
      <c r="AA244" s="202">
        <f t="shared" si="30"/>
        <v>1</v>
      </c>
      <c r="AB244" s="202">
        <f t="shared" si="34"/>
        <v>1</v>
      </c>
      <c r="AC244" s="175"/>
      <c r="AD244" s="202">
        <f>PAProjects[[#This Row],[GOU 24/25]]+PAProjects[[#This Row],[DONOR 24/25]]</f>
        <v>1</v>
      </c>
    </row>
    <row r="245" spans="1:30" ht="15" customHeight="1" x14ac:dyDescent="0.25">
      <c r="A245" s="180" t="s">
        <v>242</v>
      </c>
      <c r="B245" s="175" t="s">
        <v>1394</v>
      </c>
      <c r="C245" s="175" t="e">
        <f ca="1">PAProjects[[#This Row],[LINKING_CODE]]=_xlfn.CONCAT(PAProjects[[#This Row],[Project Code]]," ",PAProjects[[#This Row],[Project Name]])</f>
        <v>#NAME?</v>
      </c>
      <c r="D245" s="175" t="e">
        <f>VLOOKUP(PAProjects[[#This Row],[LINKING_CODE]],MasterTable[[Project Code and Name ]],1,FALSE)</f>
        <v>#N/A</v>
      </c>
      <c r="E245" s="175" t="s">
        <v>520</v>
      </c>
      <c r="F245" s="175" t="s">
        <v>975</v>
      </c>
      <c r="G245" s="175" t="s">
        <v>169</v>
      </c>
      <c r="H245" s="175" t="str">
        <f>VLOOKUP(I245,'Program Codes'!C:D,2,FALSE)</f>
        <v>13</v>
      </c>
      <c r="I245" s="175" t="s">
        <v>1113</v>
      </c>
      <c r="J245" s="175" t="s">
        <v>1159</v>
      </c>
      <c r="K245" s="175" t="s">
        <v>746</v>
      </c>
      <c r="L245" s="175" t="str">
        <f t="shared" si="24"/>
        <v>Retooling</v>
      </c>
      <c r="M245" s="182">
        <v>44013</v>
      </c>
      <c r="N245" s="182">
        <v>44742</v>
      </c>
      <c r="O245" s="183">
        <v>5</v>
      </c>
      <c r="P245" s="174"/>
      <c r="Q245" s="174">
        <f t="shared" si="35"/>
        <v>5</v>
      </c>
      <c r="R245" s="174">
        <v>0</v>
      </c>
      <c r="S245" s="202">
        <f t="shared" si="31"/>
        <v>1</v>
      </c>
      <c r="T245" s="175"/>
      <c r="U245" s="202">
        <f>PAProjects[[#This Row],[GOU 21/22]]+PAProjects[[#This Row],[DONOR 21/22]]</f>
        <v>1</v>
      </c>
      <c r="V245" s="202">
        <f t="shared" si="32"/>
        <v>1</v>
      </c>
      <c r="W245" s="175"/>
      <c r="X245" s="202">
        <f>PAProjects[[#This Row],[GOU 22/23]]+PAProjects[[#This Row],[DONOR 22/23]]</f>
        <v>1</v>
      </c>
      <c r="Y245" s="202">
        <f t="shared" si="33"/>
        <v>1</v>
      </c>
      <c r="Z245" s="175"/>
      <c r="AA245" s="202">
        <f t="shared" ref="AA245:AA263" si="36">Y245+Z245</f>
        <v>1</v>
      </c>
      <c r="AB245" s="202">
        <f t="shared" si="34"/>
        <v>1</v>
      </c>
      <c r="AC245" s="175"/>
      <c r="AD245" s="202">
        <f>PAProjects[[#This Row],[GOU 24/25]]+PAProjects[[#This Row],[DONOR 24/25]]</f>
        <v>1</v>
      </c>
    </row>
    <row r="246" spans="1:30" ht="15" customHeight="1" x14ac:dyDescent="0.25">
      <c r="A246" s="180" t="s">
        <v>243</v>
      </c>
      <c r="B246" s="175" t="s">
        <v>1395</v>
      </c>
      <c r="C246" s="175" t="e">
        <f ca="1">PAProjects[[#This Row],[LINKING_CODE]]=_xlfn.CONCAT(PAProjects[[#This Row],[Project Code]]," ",PAProjects[[#This Row],[Project Name]])</f>
        <v>#NAME?</v>
      </c>
      <c r="D246" s="175" t="e">
        <f>VLOOKUP(PAProjects[[#This Row],[LINKING_CODE]],MasterTable[[Project Code and Name ]],1,FALSE)</f>
        <v>#N/A</v>
      </c>
      <c r="E246" s="175" t="s">
        <v>520</v>
      </c>
      <c r="F246" s="175" t="s">
        <v>975</v>
      </c>
      <c r="G246" s="175" t="s">
        <v>170</v>
      </c>
      <c r="H246" s="175" t="str">
        <f>VLOOKUP(I246,'Program Codes'!C:D,2,FALSE)</f>
        <v>13</v>
      </c>
      <c r="I246" s="175" t="s">
        <v>1113</v>
      </c>
      <c r="J246" s="175" t="s">
        <v>1160</v>
      </c>
      <c r="K246" s="175" t="s">
        <v>741</v>
      </c>
      <c r="L246" s="175" t="str">
        <f t="shared" si="24"/>
        <v>Retooling</v>
      </c>
      <c r="M246" s="182">
        <v>44013</v>
      </c>
      <c r="N246" s="182">
        <v>44742</v>
      </c>
      <c r="O246" s="183">
        <v>20</v>
      </c>
      <c r="P246" s="174"/>
      <c r="Q246" s="174">
        <f t="shared" si="35"/>
        <v>20</v>
      </c>
      <c r="R246" s="174">
        <v>0</v>
      </c>
      <c r="S246" s="202">
        <f t="shared" si="31"/>
        <v>4</v>
      </c>
      <c r="T246" s="175"/>
      <c r="U246" s="202">
        <f>PAProjects[[#This Row],[GOU 21/22]]+PAProjects[[#This Row],[DONOR 21/22]]</f>
        <v>4</v>
      </c>
      <c r="V246" s="202">
        <f t="shared" si="32"/>
        <v>4</v>
      </c>
      <c r="W246" s="175"/>
      <c r="X246" s="202">
        <f>PAProjects[[#This Row],[GOU 22/23]]+PAProjects[[#This Row],[DONOR 22/23]]</f>
        <v>4</v>
      </c>
      <c r="Y246" s="202">
        <f t="shared" si="33"/>
        <v>4</v>
      </c>
      <c r="Z246" s="175"/>
      <c r="AA246" s="202">
        <f t="shared" si="36"/>
        <v>4</v>
      </c>
      <c r="AB246" s="202">
        <f t="shared" si="34"/>
        <v>4</v>
      </c>
      <c r="AC246" s="175"/>
      <c r="AD246" s="202">
        <f>PAProjects[[#This Row],[GOU 24/25]]+PAProjects[[#This Row],[DONOR 24/25]]</f>
        <v>4</v>
      </c>
    </row>
    <row r="247" spans="1:30" ht="15" customHeight="1" x14ac:dyDescent="0.25">
      <c r="A247" s="180" t="s">
        <v>244</v>
      </c>
      <c r="B247" s="175" t="s">
        <v>1396</v>
      </c>
      <c r="C247" s="175" t="e">
        <f ca="1">PAProjects[[#This Row],[LINKING_CODE]]=_xlfn.CONCAT(PAProjects[[#This Row],[Project Code]]," ",PAProjects[[#This Row],[Project Name]])</f>
        <v>#NAME?</v>
      </c>
      <c r="D247" s="175" t="e">
        <f>VLOOKUP(PAProjects[[#This Row],[LINKING_CODE]],MasterTable[[Project Code and Name ]],1,FALSE)</f>
        <v>#N/A</v>
      </c>
      <c r="E247" s="175" t="s">
        <v>520</v>
      </c>
      <c r="F247" s="175" t="s">
        <v>975</v>
      </c>
      <c r="G247" s="175" t="s">
        <v>171</v>
      </c>
      <c r="H247" s="175" t="str">
        <f>VLOOKUP(I247,'Program Codes'!C:D,2,FALSE)</f>
        <v>13</v>
      </c>
      <c r="I247" s="175" t="s">
        <v>1113</v>
      </c>
      <c r="J247" s="175" t="s">
        <v>1161</v>
      </c>
      <c r="K247" s="175" t="s">
        <v>747</v>
      </c>
      <c r="L247" s="175" t="str">
        <f t="shared" si="24"/>
        <v>Retooling</v>
      </c>
      <c r="M247" s="182">
        <v>44013</v>
      </c>
      <c r="N247" s="182">
        <v>44742</v>
      </c>
      <c r="O247" s="183">
        <v>5</v>
      </c>
      <c r="P247" s="174"/>
      <c r="Q247" s="174">
        <f t="shared" si="35"/>
        <v>5</v>
      </c>
      <c r="R247" s="174">
        <v>0</v>
      </c>
      <c r="S247" s="202">
        <f t="shared" si="31"/>
        <v>1</v>
      </c>
      <c r="T247" s="175"/>
      <c r="U247" s="202">
        <f>PAProjects[[#This Row],[GOU 21/22]]+PAProjects[[#This Row],[DONOR 21/22]]</f>
        <v>1</v>
      </c>
      <c r="V247" s="202">
        <f t="shared" si="32"/>
        <v>1</v>
      </c>
      <c r="W247" s="175"/>
      <c r="X247" s="202">
        <f>PAProjects[[#This Row],[GOU 22/23]]+PAProjects[[#This Row],[DONOR 22/23]]</f>
        <v>1</v>
      </c>
      <c r="Y247" s="202">
        <f t="shared" si="33"/>
        <v>1</v>
      </c>
      <c r="Z247" s="175"/>
      <c r="AA247" s="202">
        <f t="shared" si="36"/>
        <v>1</v>
      </c>
      <c r="AB247" s="202">
        <f t="shared" si="34"/>
        <v>1</v>
      </c>
      <c r="AC247" s="175"/>
      <c r="AD247" s="202">
        <f>PAProjects[[#This Row],[GOU 24/25]]+PAProjects[[#This Row],[DONOR 24/25]]</f>
        <v>1</v>
      </c>
    </row>
    <row r="248" spans="1:30" ht="15" customHeight="1" x14ac:dyDescent="0.25">
      <c r="A248" s="180" t="s">
        <v>245</v>
      </c>
      <c r="B248" s="175" t="s">
        <v>1397</v>
      </c>
      <c r="C248" s="175" t="e">
        <f ca="1">PAProjects[[#This Row],[LINKING_CODE]]=_xlfn.CONCAT(PAProjects[[#This Row],[Project Code]]," ",PAProjects[[#This Row],[Project Name]])</f>
        <v>#NAME?</v>
      </c>
      <c r="D248" s="175" t="e">
        <f>VLOOKUP(PAProjects[[#This Row],[LINKING_CODE]],MasterTable[[Project Code and Name ]],1,FALSE)</f>
        <v>#N/A</v>
      </c>
      <c r="E248" s="175" t="s">
        <v>520</v>
      </c>
      <c r="F248" s="175" t="s">
        <v>975</v>
      </c>
      <c r="G248" s="175" t="s">
        <v>172</v>
      </c>
      <c r="H248" s="175" t="str">
        <f>VLOOKUP(I248,'Program Codes'!C:D,2,FALSE)</f>
        <v>13</v>
      </c>
      <c r="I248" s="175" t="s">
        <v>1113</v>
      </c>
      <c r="J248" s="175" t="s">
        <v>1162</v>
      </c>
      <c r="K248" s="175" t="s">
        <v>743</v>
      </c>
      <c r="L248" s="175" t="str">
        <f t="shared" si="24"/>
        <v>Retooling</v>
      </c>
      <c r="M248" s="182">
        <v>44013</v>
      </c>
      <c r="N248" s="182">
        <v>44742</v>
      </c>
      <c r="O248" s="183">
        <v>1.1000000000000001</v>
      </c>
      <c r="P248" s="174"/>
      <c r="Q248" s="174">
        <f t="shared" si="35"/>
        <v>1.1000000000000001</v>
      </c>
      <c r="R248" s="174">
        <v>0</v>
      </c>
      <c r="S248" s="202">
        <f t="shared" si="31"/>
        <v>0.22000000000000003</v>
      </c>
      <c r="T248" s="175"/>
      <c r="U248" s="202">
        <f>PAProjects[[#This Row],[GOU 21/22]]+PAProjects[[#This Row],[DONOR 21/22]]</f>
        <v>0.22000000000000003</v>
      </c>
      <c r="V248" s="202">
        <f t="shared" si="32"/>
        <v>0.22000000000000003</v>
      </c>
      <c r="W248" s="175"/>
      <c r="X248" s="202">
        <f>PAProjects[[#This Row],[GOU 22/23]]+PAProjects[[#This Row],[DONOR 22/23]]</f>
        <v>0.22000000000000003</v>
      </c>
      <c r="Y248" s="202">
        <f t="shared" si="33"/>
        <v>0.22000000000000003</v>
      </c>
      <c r="Z248" s="175"/>
      <c r="AA248" s="202">
        <f t="shared" si="36"/>
        <v>0.22000000000000003</v>
      </c>
      <c r="AB248" s="202">
        <f t="shared" si="34"/>
        <v>0.22000000000000003</v>
      </c>
      <c r="AC248" s="175"/>
      <c r="AD248" s="202">
        <f>PAProjects[[#This Row],[GOU 24/25]]+PAProjects[[#This Row],[DONOR 24/25]]</f>
        <v>0.22000000000000003</v>
      </c>
    </row>
    <row r="249" spans="1:30" ht="15" customHeight="1" x14ac:dyDescent="0.25">
      <c r="A249" s="180" t="s">
        <v>246</v>
      </c>
      <c r="B249" s="175" t="s">
        <v>1398</v>
      </c>
      <c r="C249" s="175" t="e">
        <f ca="1">PAProjects[[#This Row],[LINKING_CODE]]=_xlfn.CONCAT(PAProjects[[#This Row],[Project Code]]," ",PAProjects[[#This Row],[Project Name]])</f>
        <v>#NAME?</v>
      </c>
      <c r="D249" s="175" t="e">
        <f>VLOOKUP(PAProjects[[#This Row],[LINKING_CODE]],MasterTable[[Project Code and Name ]],1,FALSE)</f>
        <v>#N/A</v>
      </c>
      <c r="E249" s="175" t="s">
        <v>520</v>
      </c>
      <c r="F249" s="175" t="s">
        <v>975</v>
      </c>
      <c r="G249" s="175" t="s">
        <v>173</v>
      </c>
      <c r="H249" s="175" t="str">
        <f>VLOOKUP(I249,'Program Codes'!C:D,2,FALSE)</f>
        <v>13</v>
      </c>
      <c r="I249" s="175" t="s">
        <v>1113</v>
      </c>
      <c r="J249" s="175" t="s">
        <v>1163</v>
      </c>
      <c r="K249" s="175" t="s">
        <v>739</v>
      </c>
      <c r="L249" s="175" t="str">
        <f t="shared" si="24"/>
        <v>Retooling</v>
      </c>
      <c r="M249" s="182">
        <v>44013</v>
      </c>
      <c r="N249" s="182">
        <v>44742</v>
      </c>
      <c r="O249" s="183">
        <v>7.5</v>
      </c>
      <c r="P249" s="174"/>
      <c r="Q249" s="174">
        <f t="shared" si="35"/>
        <v>7.5</v>
      </c>
      <c r="R249" s="174">
        <v>0</v>
      </c>
      <c r="S249" s="202">
        <f t="shared" si="31"/>
        <v>1.5</v>
      </c>
      <c r="T249" s="175"/>
      <c r="U249" s="202">
        <f>PAProjects[[#This Row],[GOU 21/22]]+PAProjects[[#This Row],[DONOR 21/22]]</f>
        <v>1.5</v>
      </c>
      <c r="V249" s="202">
        <f t="shared" si="32"/>
        <v>1.5</v>
      </c>
      <c r="W249" s="175"/>
      <c r="X249" s="202">
        <f>PAProjects[[#This Row],[GOU 22/23]]+PAProjects[[#This Row],[DONOR 22/23]]</f>
        <v>1.5</v>
      </c>
      <c r="Y249" s="202">
        <f t="shared" si="33"/>
        <v>1.5</v>
      </c>
      <c r="Z249" s="175"/>
      <c r="AA249" s="202">
        <f t="shared" si="36"/>
        <v>1.5</v>
      </c>
      <c r="AB249" s="202">
        <f t="shared" si="34"/>
        <v>1.5</v>
      </c>
      <c r="AC249" s="175"/>
      <c r="AD249" s="202">
        <f>PAProjects[[#This Row],[GOU 24/25]]+PAProjects[[#This Row],[DONOR 24/25]]</f>
        <v>1.5</v>
      </c>
    </row>
    <row r="250" spans="1:30" ht="15" customHeight="1" x14ac:dyDescent="0.25">
      <c r="A250" s="180" t="s">
        <v>247</v>
      </c>
      <c r="B250" s="175" t="s">
        <v>1399</v>
      </c>
      <c r="C250" s="175" t="e">
        <f ca="1">PAProjects[[#This Row],[LINKING_CODE]]=_xlfn.CONCAT(PAProjects[[#This Row],[Project Code]]," ",PAProjects[[#This Row],[Project Name]])</f>
        <v>#NAME?</v>
      </c>
      <c r="D250" s="175" t="e">
        <f>VLOOKUP(PAProjects[[#This Row],[LINKING_CODE]],MasterTable[[Project Code and Name ]],1,FALSE)</f>
        <v>#N/A</v>
      </c>
      <c r="E250" s="175" t="s">
        <v>520</v>
      </c>
      <c r="F250" s="175" t="s">
        <v>975</v>
      </c>
      <c r="G250" s="175" t="s">
        <v>174</v>
      </c>
      <c r="H250" s="175" t="str">
        <f>VLOOKUP(I250,'Program Codes'!C:D,2,FALSE)</f>
        <v>13</v>
      </c>
      <c r="I250" s="175" t="s">
        <v>1113</v>
      </c>
      <c r="J250" s="175" t="s">
        <v>1164</v>
      </c>
      <c r="K250" s="175" t="s">
        <v>740</v>
      </c>
      <c r="L250" s="175" t="str">
        <f t="shared" si="24"/>
        <v>Retooling</v>
      </c>
      <c r="M250" s="182">
        <v>44013</v>
      </c>
      <c r="N250" s="182">
        <v>44742</v>
      </c>
      <c r="O250" s="183">
        <v>4.2</v>
      </c>
      <c r="P250" s="174"/>
      <c r="Q250" s="174">
        <f t="shared" si="35"/>
        <v>4.2</v>
      </c>
      <c r="R250" s="174">
        <v>0</v>
      </c>
      <c r="S250" s="202">
        <f t="shared" si="31"/>
        <v>0.84000000000000008</v>
      </c>
      <c r="T250" s="175"/>
      <c r="U250" s="202">
        <f>PAProjects[[#This Row],[GOU 21/22]]+PAProjects[[#This Row],[DONOR 21/22]]</f>
        <v>0.84000000000000008</v>
      </c>
      <c r="V250" s="202">
        <f t="shared" si="32"/>
        <v>0.84000000000000008</v>
      </c>
      <c r="W250" s="175"/>
      <c r="X250" s="202">
        <f>PAProjects[[#This Row],[GOU 22/23]]+PAProjects[[#This Row],[DONOR 22/23]]</f>
        <v>0.84000000000000008</v>
      </c>
      <c r="Y250" s="202">
        <f t="shared" si="33"/>
        <v>0.84000000000000008</v>
      </c>
      <c r="Z250" s="175"/>
      <c r="AA250" s="202">
        <f t="shared" si="36"/>
        <v>0.84000000000000008</v>
      </c>
      <c r="AB250" s="202">
        <f t="shared" si="34"/>
        <v>0.84000000000000008</v>
      </c>
      <c r="AC250" s="175"/>
      <c r="AD250" s="202">
        <f>PAProjects[[#This Row],[GOU 24/25]]+PAProjects[[#This Row],[DONOR 24/25]]</f>
        <v>0.84000000000000008</v>
      </c>
    </row>
    <row r="251" spans="1:30" ht="15" customHeight="1" x14ac:dyDescent="0.25">
      <c r="A251" s="180" t="s">
        <v>248</v>
      </c>
      <c r="B251" s="175" t="s">
        <v>1400</v>
      </c>
      <c r="C251" s="175" t="e">
        <f ca="1">PAProjects[[#This Row],[LINKING_CODE]]=_xlfn.CONCAT(PAProjects[[#This Row],[Project Code]]," ",PAProjects[[#This Row],[Project Name]])</f>
        <v>#NAME?</v>
      </c>
      <c r="D251" s="175" t="e">
        <f>VLOOKUP(PAProjects[[#This Row],[LINKING_CODE]],MasterTable[[Project Code and Name ]],1,FALSE)</f>
        <v>#N/A</v>
      </c>
      <c r="E251" s="175" t="s">
        <v>520</v>
      </c>
      <c r="F251" s="175" t="s">
        <v>975</v>
      </c>
      <c r="G251" s="175" t="s">
        <v>175</v>
      </c>
      <c r="H251" s="175" t="str">
        <f>VLOOKUP(I251,'Program Codes'!C:D,2,FALSE)</f>
        <v>13</v>
      </c>
      <c r="I251" s="175" t="s">
        <v>1113</v>
      </c>
      <c r="J251" s="175" t="s">
        <v>1165</v>
      </c>
      <c r="K251" s="175" t="s">
        <v>1166</v>
      </c>
      <c r="L251" s="175" t="str">
        <f t="shared" si="24"/>
        <v>Retooling</v>
      </c>
      <c r="M251" s="182">
        <v>44013</v>
      </c>
      <c r="N251" s="182">
        <v>44742</v>
      </c>
      <c r="O251" s="183">
        <v>2.7</v>
      </c>
      <c r="P251" s="174"/>
      <c r="Q251" s="174">
        <f t="shared" si="35"/>
        <v>2.7</v>
      </c>
      <c r="R251" s="174">
        <v>0</v>
      </c>
      <c r="S251" s="202">
        <f t="shared" si="31"/>
        <v>0.54</v>
      </c>
      <c r="T251" s="175"/>
      <c r="U251" s="202">
        <f>PAProjects[[#This Row],[GOU 21/22]]+PAProjects[[#This Row],[DONOR 21/22]]</f>
        <v>0.54</v>
      </c>
      <c r="V251" s="202">
        <f t="shared" si="32"/>
        <v>0.54</v>
      </c>
      <c r="W251" s="175"/>
      <c r="X251" s="202">
        <f>PAProjects[[#This Row],[GOU 22/23]]+PAProjects[[#This Row],[DONOR 22/23]]</f>
        <v>0.54</v>
      </c>
      <c r="Y251" s="202">
        <f t="shared" si="33"/>
        <v>0.54</v>
      </c>
      <c r="Z251" s="175"/>
      <c r="AA251" s="202">
        <f t="shared" si="36"/>
        <v>0.54</v>
      </c>
      <c r="AB251" s="202">
        <f t="shared" si="34"/>
        <v>0.54</v>
      </c>
      <c r="AC251" s="175"/>
      <c r="AD251" s="202">
        <f>PAProjects[[#This Row],[GOU 24/25]]+PAProjects[[#This Row],[DONOR 24/25]]</f>
        <v>0.54</v>
      </c>
    </row>
    <row r="252" spans="1:30" ht="15" customHeight="1" x14ac:dyDescent="0.25">
      <c r="A252" s="180" t="s">
        <v>249</v>
      </c>
      <c r="B252" s="175" t="s">
        <v>1401</v>
      </c>
      <c r="C252" s="175" t="e">
        <f ca="1">PAProjects[[#This Row],[LINKING_CODE]]=_xlfn.CONCAT(PAProjects[[#This Row],[Project Code]]," ",PAProjects[[#This Row],[Project Name]])</f>
        <v>#NAME?</v>
      </c>
      <c r="D252" s="175" t="e">
        <f>VLOOKUP(PAProjects[[#This Row],[LINKING_CODE]],MasterTable[[Project Code and Name ]],1,FALSE)</f>
        <v>#N/A</v>
      </c>
      <c r="E252" s="175" t="s">
        <v>520</v>
      </c>
      <c r="F252" s="175" t="s">
        <v>975</v>
      </c>
      <c r="G252" s="175" t="s">
        <v>176</v>
      </c>
      <c r="H252" s="175" t="str">
        <f>VLOOKUP(I252,'Program Codes'!C:D,2,FALSE)</f>
        <v>13</v>
      </c>
      <c r="I252" s="175" t="s">
        <v>1113</v>
      </c>
      <c r="J252" s="175" t="s">
        <v>1167</v>
      </c>
      <c r="K252" s="175" t="s">
        <v>733</v>
      </c>
      <c r="L252" s="175" t="str">
        <f t="shared" si="24"/>
        <v>Retooling</v>
      </c>
      <c r="M252" s="182">
        <v>44013</v>
      </c>
      <c r="N252" s="182">
        <v>44742</v>
      </c>
      <c r="O252" s="183">
        <v>46</v>
      </c>
      <c r="P252" s="174"/>
      <c r="Q252" s="174">
        <f t="shared" si="35"/>
        <v>46</v>
      </c>
      <c r="R252" s="174">
        <v>0</v>
      </c>
      <c r="S252" s="202">
        <f t="shared" si="31"/>
        <v>9.1999999999999993</v>
      </c>
      <c r="T252" s="175"/>
      <c r="U252" s="202">
        <f>PAProjects[[#This Row],[GOU 21/22]]+PAProjects[[#This Row],[DONOR 21/22]]</f>
        <v>9.1999999999999993</v>
      </c>
      <c r="V252" s="202">
        <f t="shared" si="32"/>
        <v>9.1999999999999993</v>
      </c>
      <c r="W252" s="175"/>
      <c r="X252" s="202">
        <f>PAProjects[[#This Row],[GOU 22/23]]+PAProjects[[#This Row],[DONOR 22/23]]</f>
        <v>9.1999999999999993</v>
      </c>
      <c r="Y252" s="202">
        <f t="shared" si="33"/>
        <v>9.1999999999999993</v>
      </c>
      <c r="Z252" s="175"/>
      <c r="AA252" s="202">
        <f t="shared" si="36"/>
        <v>9.1999999999999993</v>
      </c>
      <c r="AB252" s="202">
        <f t="shared" si="34"/>
        <v>9.1999999999999993</v>
      </c>
      <c r="AC252" s="175"/>
      <c r="AD252" s="202">
        <f>PAProjects[[#This Row],[GOU 24/25]]+PAProjects[[#This Row],[DONOR 24/25]]</f>
        <v>9.1999999999999993</v>
      </c>
    </row>
    <row r="253" spans="1:30" ht="15" customHeight="1" x14ac:dyDescent="0.25">
      <c r="A253" s="180" t="s">
        <v>250</v>
      </c>
      <c r="B253" s="175" t="s">
        <v>1402</v>
      </c>
      <c r="C253" s="175" t="e">
        <f ca="1">PAProjects[[#This Row],[LINKING_CODE]]=_xlfn.CONCAT(PAProjects[[#This Row],[Project Code]]," ",PAProjects[[#This Row],[Project Name]])</f>
        <v>#NAME?</v>
      </c>
      <c r="D253" s="175" t="e">
        <f>VLOOKUP(PAProjects[[#This Row],[LINKING_CODE]],MasterTable[[Project Code and Name ]],1,FALSE)</f>
        <v>#N/A</v>
      </c>
      <c r="E253" s="175" t="s">
        <v>520</v>
      </c>
      <c r="F253" s="175" t="s">
        <v>975</v>
      </c>
      <c r="G253" s="175" t="s">
        <v>177</v>
      </c>
      <c r="H253" s="175" t="str">
        <f>VLOOKUP(I253,'Program Codes'!C:D,2,FALSE)</f>
        <v>13</v>
      </c>
      <c r="I253" s="175" t="s">
        <v>1113</v>
      </c>
      <c r="J253" s="175" t="s">
        <v>1168</v>
      </c>
      <c r="K253" s="175" t="s">
        <v>736</v>
      </c>
      <c r="L253" s="175" t="str">
        <f t="shared" si="24"/>
        <v>Retooling</v>
      </c>
      <c r="M253" s="182">
        <v>44013</v>
      </c>
      <c r="N253" s="182">
        <v>44742</v>
      </c>
      <c r="O253" s="183">
        <v>15</v>
      </c>
      <c r="P253" s="174"/>
      <c r="Q253" s="174">
        <f t="shared" si="35"/>
        <v>15</v>
      </c>
      <c r="R253" s="174">
        <v>0</v>
      </c>
      <c r="S253" s="202">
        <f t="shared" si="31"/>
        <v>3</v>
      </c>
      <c r="T253" s="175"/>
      <c r="U253" s="202">
        <f>PAProjects[[#This Row],[GOU 21/22]]+PAProjects[[#This Row],[DONOR 21/22]]</f>
        <v>3</v>
      </c>
      <c r="V253" s="202">
        <f t="shared" si="32"/>
        <v>3</v>
      </c>
      <c r="W253" s="175"/>
      <c r="X253" s="202">
        <f>PAProjects[[#This Row],[GOU 22/23]]+PAProjects[[#This Row],[DONOR 22/23]]</f>
        <v>3</v>
      </c>
      <c r="Y253" s="202">
        <f t="shared" si="33"/>
        <v>3</v>
      </c>
      <c r="Z253" s="175"/>
      <c r="AA253" s="202">
        <f t="shared" si="36"/>
        <v>3</v>
      </c>
      <c r="AB253" s="202">
        <f t="shared" si="34"/>
        <v>3</v>
      </c>
      <c r="AC253" s="175"/>
      <c r="AD253" s="202">
        <f>PAProjects[[#This Row],[GOU 24/25]]+PAProjects[[#This Row],[DONOR 24/25]]</f>
        <v>3</v>
      </c>
    </row>
    <row r="254" spans="1:30" ht="15" customHeight="1" x14ac:dyDescent="0.25">
      <c r="A254" s="180" t="s">
        <v>251</v>
      </c>
      <c r="B254" s="175" t="s">
        <v>1403</v>
      </c>
      <c r="C254" s="175" t="e">
        <f ca="1">PAProjects[[#This Row],[LINKING_CODE]]=_xlfn.CONCAT(PAProjects[[#This Row],[Project Code]]," ",PAProjects[[#This Row],[Project Name]])</f>
        <v>#NAME?</v>
      </c>
      <c r="D254" s="175" t="e">
        <f>VLOOKUP(PAProjects[[#This Row],[LINKING_CODE]],MasterTable[[Project Code and Name ]],1,FALSE)</f>
        <v>#N/A</v>
      </c>
      <c r="E254" s="175" t="s">
        <v>520</v>
      </c>
      <c r="F254" s="175" t="s">
        <v>975</v>
      </c>
      <c r="G254" s="175" t="s">
        <v>178</v>
      </c>
      <c r="H254" s="175" t="str">
        <f>VLOOKUP(I254,'Program Codes'!C:D,2,FALSE)</f>
        <v>13</v>
      </c>
      <c r="I254" s="175" t="s">
        <v>1113</v>
      </c>
      <c r="J254" s="175" t="s">
        <v>1169</v>
      </c>
      <c r="K254" s="175" t="s">
        <v>737</v>
      </c>
      <c r="L254" s="175" t="str">
        <f t="shared" si="24"/>
        <v>Retooling</v>
      </c>
      <c r="M254" s="182">
        <v>44013</v>
      </c>
      <c r="N254" s="182">
        <v>44742</v>
      </c>
      <c r="O254" s="183">
        <v>5.9</v>
      </c>
      <c r="P254" s="174"/>
      <c r="Q254" s="174">
        <f t="shared" si="35"/>
        <v>5.9</v>
      </c>
      <c r="R254" s="174">
        <v>0</v>
      </c>
      <c r="S254" s="202">
        <f t="shared" si="31"/>
        <v>1.1800000000000002</v>
      </c>
      <c r="T254" s="175"/>
      <c r="U254" s="202">
        <f>PAProjects[[#This Row],[GOU 21/22]]+PAProjects[[#This Row],[DONOR 21/22]]</f>
        <v>1.1800000000000002</v>
      </c>
      <c r="V254" s="202">
        <f t="shared" si="32"/>
        <v>1.1800000000000002</v>
      </c>
      <c r="W254" s="175"/>
      <c r="X254" s="202">
        <f>PAProjects[[#This Row],[GOU 22/23]]+PAProjects[[#This Row],[DONOR 22/23]]</f>
        <v>1.1800000000000002</v>
      </c>
      <c r="Y254" s="202">
        <f t="shared" si="33"/>
        <v>1.1800000000000002</v>
      </c>
      <c r="Z254" s="175"/>
      <c r="AA254" s="202">
        <f t="shared" si="36"/>
        <v>1.1800000000000002</v>
      </c>
      <c r="AB254" s="202">
        <f t="shared" si="34"/>
        <v>1.1800000000000002</v>
      </c>
      <c r="AC254" s="175"/>
      <c r="AD254" s="202">
        <f>PAProjects[[#This Row],[GOU 24/25]]+PAProjects[[#This Row],[DONOR 24/25]]</f>
        <v>1.1800000000000002</v>
      </c>
    </row>
    <row r="255" spans="1:30" ht="15" customHeight="1" x14ac:dyDescent="0.25">
      <c r="A255" s="180" t="s">
        <v>252</v>
      </c>
      <c r="B255" s="175" t="s">
        <v>1404</v>
      </c>
      <c r="C255" s="175" t="e">
        <f ca="1">PAProjects[[#This Row],[LINKING_CODE]]=_xlfn.CONCAT(PAProjects[[#This Row],[Project Code]]," ",PAProjects[[#This Row],[Project Name]])</f>
        <v>#NAME?</v>
      </c>
      <c r="D255" s="175" t="e">
        <f>VLOOKUP(PAProjects[[#This Row],[LINKING_CODE]],MasterTable[[Project Code and Name ]],1,FALSE)</f>
        <v>#N/A</v>
      </c>
      <c r="E255" s="175" t="s">
        <v>520</v>
      </c>
      <c r="F255" s="175" t="s">
        <v>975</v>
      </c>
      <c r="G255" s="175" t="s">
        <v>179</v>
      </c>
      <c r="H255" s="175" t="str">
        <f>VLOOKUP(I255,'Program Codes'!C:D,2,FALSE)</f>
        <v>13</v>
      </c>
      <c r="I255" s="175" t="s">
        <v>1113</v>
      </c>
      <c r="J255" s="175" t="s">
        <v>1170</v>
      </c>
      <c r="K255" s="175" t="s">
        <v>748</v>
      </c>
      <c r="L255" s="175" t="str">
        <f t="shared" si="24"/>
        <v>Retooling</v>
      </c>
      <c r="M255" s="182">
        <v>44013</v>
      </c>
      <c r="N255" s="182">
        <v>44742</v>
      </c>
      <c r="O255" s="183">
        <v>9.1</v>
      </c>
      <c r="P255" s="174"/>
      <c r="Q255" s="174">
        <f t="shared" si="35"/>
        <v>9.1</v>
      </c>
      <c r="R255" s="174">
        <v>0</v>
      </c>
      <c r="S255" s="202">
        <f t="shared" si="31"/>
        <v>1.8199999999999998</v>
      </c>
      <c r="T255" s="175"/>
      <c r="U255" s="202">
        <f>PAProjects[[#This Row],[GOU 21/22]]+PAProjects[[#This Row],[DONOR 21/22]]</f>
        <v>1.8199999999999998</v>
      </c>
      <c r="V255" s="202">
        <f t="shared" si="32"/>
        <v>1.8199999999999998</v>
      </c>
      <c r="W255" s="175"/>
      <c r="X255" s="202">
        <f>PAProjects[[#This Row],[GOU 22/23]]+PAProjects[[#This Row],[DONOR 22/23]]</f>
        <v>1.8199999999999998</v>
      </c>
      <c r="Y255" s="202">
        <f t="shared" si="33"/>
        <v>1.8199999999999998</v>
      </c>
      <c r="Z255" s="175"/>
      <c r="AA255" s="202">
        <f t="shared" si="36"/>
        <v>1.8199999999999998</v>
      </c>
      <c r="AB255" s="202">
        <f t="shared" si="34"/>
        <v>1.8199999999999998</v>
      </c>
      <c r="AC255" s="175"/>
      <c r="AD255" s="202">
        <f>PAProjects[[#This Row],[GOU 24/25]]+PAProjects[[#This Row],[DONOR 24/25]]</f>
        <v>1.8199999999999998</v>
      </c>
    </row>
    <row r="256" spans="1:30" ht="15" customHeight="1" x14ac:dyDescent="0.25">
      <c r="A256" s="180" t="s">
        <v>253</v>
      </c>
      <c r="B256" s="175" t="s">
        <v>1405</v>
      </c>
      <c r="C256" s="175" t="e">
        <f ca="1">PAProjects[[#This Row],[LINKING_CODE]]=_xlfn.CONCAT(PAProjects[[#This Row],[Project Code]]," ",PAProjects[[#This Row],[Project Name]])</f>
        <v>#NAME?</v>
      </c>
      <c r="D256" s="175" t="e">
        <f>VLOOKUP(PAProjects[[#This Row],[LINKING_CODE]],MasterTable[[Project Code and Name ]],1,FALSE)</f>
        <v>#N/A</v>
      </c>
      <c r="E256" s="175" t="s">
        <v>520</v>
      </c>
      <c r="F256" s="175" t="s">
        <v>975</v>
      </c>
      <c r="G256" s="175" t="s">
        <v>180</v>
      </c>
      <c r="H256" s="175" t="str">
        <f>VLOOKUP(I256,'Program Codes'!C:D,2,FALSE)</f>
        <v>13</v>
      </c>
      <c r="I256" s="175" t="s">
        <v>1113</v>
      </c>
      <c r="J256" s="175" t="s">
        <v>1171</v>
      </c>
      <c r="K256" s="175" t="s">
        <v>735</v>
      </c>
      <c r="L256" s="175" t="str">
        <f t="shared" si="24"/>
        <v>Retooling</v>
      </c>
      <c r="M256" s="182">
        <v>44013</v>
      </c>
      <c r="N256" s="182">
        <v>44742</v>
      </c>
      <c r="O256" s="183">
        <v>10.8</v>
      </c>
      <c r="P256" s="174"/>
      <c r="Q256" s="174">
        <f t="shared" si="35"/>
        <v>10.8</v>
      </c>
      <c r="R256" s="174">
        <v>0</v>
      </c>
      <c r="S256" s="202">
        <f t="shared" si="31"/>
        <v>2.16</v>
      </c>
      <c r="T256" s="175"/>
      <c r="U256" s="202">
        <f>PAProjects[[#This Row],[GOU 21/22]]+PAProjects[[#This Row],[DONOR 21/22]]</f>
        <v>2.16</v>
      </c>
      <c r="V256" s="202">
        <f t="shared" si="32"/>
        <v>2.16</v>
      </c>
      <c r="W256" s="175"/>
      <c r="X256" s="202">
        <f>PAProjects[[#This Row],[GOU 22/23]]+PAProjects[[#This Row],[DONOR 22/23]]</f>
        <v>2.16</v>
      </c>
      <c r="Y256" s="202">
        <f t="shared" si="33"/>
        <v>2.16</v>
      </c>
      <c r="Z256" s="175"/>
      <c r="AA256" s="202">
        <f t="shared" si="36"/>
        <v>2.16</v>
      </c>
      <c r="AB256" s="202">
        <f t="shared" si="34"/>
        <v>2.16</v>
      </c>
      <c r="AC256" s="175"/>
      <c r="AD256" s="202">
        <f>PAProjects[[#This Row],[GOU 24/25]]+PAProjects[[#This Row],[DONOR 24/25]]</f>
        <v>2.16</v>
      </c>
    </row>
    <row r="257" spans="1:30" ht="15" customHeight="1" x14ac:dyDescent="0.25">
      <c r="A257" s="180" t="s">
        <v>254</v>
      </c>
      <c r="B257" s="175" t="s">
        <v>1406</v>
      </c>
      <c r="C257" s="175" t="e">
        <f ca="1">PAProjects[[#This Row],[LINKING_CODE]]=_xlfn.CONCAT(PAProjects[[#This Row],[Project Code]]," ",PAProjects[[#This Row],[Project Name]])</f>
        <v>#NAME?</v>
      </c>
      <c r="D257" s="175" t="e">
        <f>VLOOKUP(PAProjects[[#This Row],[LINKING_CODE]],MasterTable[[Project Code and Name ]],1,FALSE)</f>
        <v>#N/A</v>
      </c>
      <c r="E257" s="175" t="s">
        <v>520</v>
      </c>
      <c r="F257" s="175" t="s">
        <v>975</v>
      </c>
      <c r="G257" s="175" t="s">
        <v>304</v>
      </c>
      <c r="H257" s="175" t="str">
        <f>VLOOKUP(I257,'Program Codes'!C:D,2,FALSE)</f>
        <v>13</v>
      </c>
      <c r="I257" s="175" t="s">
        <v>1113</v>
      </c>
      <c r="J257" s="175" t="s">
        <v>1172</v>
      </c>
      <c r="K257" s="175" t="s">
        <v>731</v>
      </c>
      <c r="L257" s="175" t="str">
        <f t="shared" ref="L257:L298" si="37">IF(ISERROR(SEARCH("Retooling",K257))=FALSE,"Retooling","")</f>
        <v>Retooling</v>
      </c>
      <c r="M257" s="182">
        <v>44013</v>
      </c>
      <c r="N257" s="182">
        <v>44742</v>
      </c>
      <c r="O257" s="183">
        <v>6</v>
      </c>
      <c r="P257" s="174"/>
      <c r="Q257" s="174">
        <f t="shared" si="35"/>
        <v>6</v>
      </c>
      <c r="R257" s="174">
        <v>0</v>
      </c>
      <c r="S257" s="202">
        <f t="shared" si="31"/>
        <v>1.2</v>
      </c>
      <c r="T257" s="175"/>
      <c r="U257" s="202">
        <f>PAProjects[[#This Row],[GOU 21/22]]+PAProjects[[#This Row],[DONOR 21/22]]</f>
        <v>1.2</v>
      </c>
      <c r="V257" s="202">
        <f t="shared" si="32"/>
        <v>1.2</v>
      </c>
      <c r="W257" s="175"/>
      <c r="X257" s="202">
        <f>PAProjects[[#This Row],[GOU 22/23]]+PAProjects[[#This Row],[DONOR 22/23]]</f>
        <v>1.2</v>
      </c>
      <c r="Y257" s="202">
        <f t="shared" si="33"/>
        <v>1.2</v>
      </c>
      <c r="Z257" s="175"/>
      <c r="AA257" s="202">
        <f t="shared" si="36"/>
        <v>1.2</v>
      </c>
      <c r="AB257" s="202">
        <f t="shared" si="34"/>
        <v>1.2</v>
      </c>
      <c r="AC257" s="175"/>
      <c r="AD257" s="202">
        <f>PAProjects[[#This Row],[GOU 24/25]]+PAProjects[[#This Row],[DONOR 24/25]]</f>
        <v>1.2</v>
      </c>
    </row>
    <row r="258" spans="1:30" ht="15" customHeight="1" x14ac:dyDescent="0.25">
      <c r="A258" s="180" t="s">
        <v>255</v>
      </c>
      <c r="B258" s="175" t="s">
        <v>1407</v>
      </c>
      <c r="C258" s="175" t="e">
        <f ca="1">PAProjects[[#This Row],[LINKING_CODE]]=_xlfn.CONCAT(PAProjects[[#This Row],[Project Code]]," ",PAProjects[[#This Row],[Project Name]])</f>
        <v>#NAME?</v>
      </c>
      <c r="D258" s="175" t="e">
        <f>VLOOKUP(PAProjects[[#This Row],[LINKING_CODE]],MasterTable[[Project Code and Name ]],1,FALSE)</f>
        <v>#N/A</v>
      </c>
      <c r="E258" s="175" t="s">
        <v>522</v>
      </c>
      <c r="F258" s="175" t="s">
        <v>1173</v>
      </c>
      <c r="G258" s="175" t="s">
        <v>68</v>
      </c>
      <c r="H258" s="175" t="str">
        <f>VLOOKUP(I258,'Program Codes'!C:D,2,FALSE)</f>
        <v>13</v>
      </c>
      <c r="I258" s="175" t="s">
        <v>1113</v>
      </c>
      <c r="J258" s="175" t="s">
        <v>1174</v>
      </c>
      <c r="K258" s="175" t="s">
        <v>798</v>
      </c>
      <c r="L258" s="175" t="str">
        <f t="shared" si="37"/>
        <v>Retooling</v>
      </c>
      <c r="M258" s="182">
        <v>44013</v>
      </c>
      <c r="N258" s="182">
        <v>44742</v>
      </c>
      <c r="O258" s="183">
        <v>80.343999999999994</v>
      </c>
      <c r="P258" s="184">
        <v>0</v>
      </c>
      <c r="Q258" s="174">
        <f t="shared" si="35"/>
        <v>80.343999999999994</v>
      </c>
      <c r="R258" s="174">
        <v>0</v>
      </c>
      <c r="S258" s="202">
        <v>10.527442562999999</v>
      </c>
      <c r="T258" s="175"/>
      <c r="U258" s="202">
        <f>PAProjects[[#This Row],[GOU 21/22]]+PAProjects[[#This Row],[DONOR 21/22]]</f>
        <v>10.527442562999999</v>
      </c>
      <c r="V258" s="202">
        <v>13.256558947</v>
      </c>
      <c r="W258" s="175"/>
      <c r="X258" s="202">
        <f>PAProjects[[#This Row],[GOU 22/23]]+PAProjects[[#This Row],[DONOR 22/23]]</f>
        <v>13.256558947</v>
      </c>
      <c r="Y258" s="202">
        <v>15.245042789999999</v>
      </c>
      <c r="Z258" s="175"/>
      <c r="AA258" s="202">
        <f t="shared" si="36"/>
        <v>15.245042789999999</v>
      </c>
      <c r="AB258" s="202">
        <v>17.531799207999999</v>
      </c>
      <c r="AC258" s="175"/>
      <c r="AD258" s="202">
        <f>PAProjects[[#This Row],[GOU 24/25]]+PAProjects[[#This Row],[DONOR 24/25]]</f>
        <v>17.531799207999999</v>
      </c>
    </row>
    <row r="259" spans="1:30" ht="15" customHeight="1" x14ac:dyDescent="0.25">
      <c r="A259" s="180" t="s">
        <v>256</v>
      </c>
      <c r="B259" s="175" t="s">
        <v>1408</v>
      </c>
      <c r="C259" s="175" t="e">
        <f ca="1">PAProjects[[#This Row],[LINKING_CODE]]=_xlfn.CONCAT(PAProjects[[#This Row],[Project Code]]," ",PAProjects[[#This Row],[Project Name]])</f>
        <v>#NAME?</v>
      </c>
      <c r="D259" s="175" t="e">
        <f>VLOOKUP(PAProjects[[#This Row],[LINKING_CODE]],MasterTable[[Project Code and Name ]],1,FALSE)</f>
        <v>#N/A</v>
      </c>
      <c r="E259" s="175" t="s">
        <v>522</v>
      </c>
      <c r="F259" s="175" t="s">
        <v>1173</v>
      </c>
      <c r="G259" s="175" t="s">
        <v>150</v>
      </c>
      <c r="H259" s="175" t="str">
        <f>VLOOKUP(I259,'Program Codes'!C:D,2,FALSE)</f>
        <v>13</v>
      </c>
      <c r="I259" s="175" t="s">
        <v>1113</v>
      </c>
      <c r="J259" s="175" t="s">
        <v>1175</v>
      </c>
      <c r="K259" s="175" t="s">
        <v>799</v>
      </c>
      <c r="L259" s="175" t="str">
        <f t="shared" si="37"/>
        <v>Retooling</v>
      </c>
      <c r="M259" s="182">
        <v>44013</v>
      </c>
      <c r="N259" s="182">
        <v>44742</v>
      </c>
      <c r="O259" s="174">
        <v>0.99</v>
      </c>
      <c r="P259" s="174"/>
      <c r="Q259" s="174">
        <f t="shared" si="35"/>
        <v>0.99</v>
      </c>
      <c r="R259" s="174">
        <v>0</v>
      </c>
      <c r="S259" s="202">
        <f t="shared" ref="S259:S281" si="38">O259/5</f>
        <v>0.19800000000000001</v>
      </c>
      <c r="T259" s="175"/>
      <c r="U259" s="202">
        <f>PAProjects[[#This Row],[GOU 21/22]]+PAProjects[[#This Row],[DONOR 21/22]]</f>
        <v>0.19800000000000001</v>
      </c>
      <c r="V259" s="202">
        <f t="shared" ref="V259:V281" si="39">S259</f>
        <v>0.19800000000000001</v>
      </c>
      <c r="W259" s="175"/>
      <c r="X259" s="202">
        <f>PAProjects[[#This Row],[GOU 22/23]]+PAProjects[[#This Row],[DONOR 22/23]]</f>
        <v>0.19800000000000001</v>
      </c>
      <c r="Y259" s="202">
        <f t="shared" ref="Y259:Y281" si="40">V259</f>
        <v>0.19800000000000001</v>
      </c>
      <c r="Z259" s="175"/>
      <c r="AA259" s="202">
        <f t="shared" si="36"/>
        <v>0.19800000000000001</v>
      </c>
      <c r="AB259" s="202">
        <f t="shared" ref="AB259:AB281" si="41">Y259</f>
        <v>0.19800000000000001</v>
      </c>
      <c r="AC259" s="175"/>
      <c r="AD259" s="202">
        <f>PAProjects[[#This Row],[GOU 24/25]]+PAProjects[[#This Row],[DONOR 24/25]]</f>
        <v>0.19800000000000001</v>
      </c>
    </row>
    <row r="260" spans="1:30" ht="15" customHeight="1" x14ac:dyDescent="0.25">
      <c r="A260" s="180" t="s">
        <v>257</v>
      </c>
      <c r="B260" s="175" t="s">
        <v>1409</v>
      </c>
      <c r="C260" s="175" t="e">
        <f ca="1">PAProjects[[#This Row],[LINKING_CODE]]=_xlfn.CONCAT(PAProjects[[#This Row],[Project Code]]," ",PAProjects[[#This Row],[Project Name]])</f>
        <v>#NAME?</v>
      </c>
      <c r="D260" s="175" t="e">
        <f>VLOOKUP(PAProjects[[#This Row],[LINKING_CODE]],MasterTable[[Project Code and Name ]],1,FALSE)</f>
        <v>#N/A</v>
      </c>
      <c r="E260" s="175" t="s">
        <v>522</v>
      </c>
      <c r="F260" s="175" t="s">
        <v>1173</v>
      </c>
      <c r="G260" s="175" t="s">
        <v>302</v>
      </c>
      <c r="H260" s="175" t="str">
        <f>VLOOKUP(I260,'Program Codes'!C:D,2,FALSE)</f>
        <v>13</v>
      </c>
      <c r="I260" s="175" t="s">
        <v>1113</v>
      </c>
      <c r="J260" s="175" t="s">
        <v>1176</v>
      </c>
      <c r="K260" s="175" t="s">
        <v>804</v>
      </c>
      <c r="L260" s="175" t="str">
        <f t="shared" si="37"/>
        <v>Retooling</v>
      </c>
      <c r="M260" s="182">
        <v>44013</v>
      </c>
      <c r="N260" s="182">
        <v>44742</v>
      </c>
      <c r="O260" s="174">
        <v>19.361000000000001</v>
      </c>
      <c r="P260" s="174"/>
      <c r="Q260" s="174">
        <f t="shared" si="35"/>
        <v>19.361000000000001</v>
      </c>
      <c r="R260" s="174">
        <v>0</v>
      </c>
      <c r="S260" s="202">
        <f t="shared" si="38"/>
        <v>3.8722000000000003</v>
      </c>
      <c r="T260" s="175"/>
      <c r="U260" s="202">
        <f>PAProjects[[#This Row],[GOU 21/22]]+PAProjects[[#This Row],[DONOR 21/22]]</f>
        <v>3.8722000000000003</v>
      </c>
      <c r="V260" s="202">
        <f t="shared" si="39"/>
        <v>3.8722000000000003</v>
      </c>
      <c r="W260" s="175"/>
      <c r="X260" s="202">
        <f>PAProjects[[#This Row],[GOU 22/23]]+PAProjects[[#This Row],[DONOR 22/23]]</f>
        <v>3.8722000000000003</v>
      </c>
      <c r="Y260" s="202">
        <f t="shared" si="40"/>
        <v>3.8722000000000003</v>
      </c>
      <c r="Z260" s="175"/>
      <c r="AA260" s="202">
        <f t="shared" si="36"/>
        <v>3.8722000000000003</v>
      </c>
      <c r="AB260" s="202">
        <f t="shared" si="41"/>
        <v>3.8722000000000003</v>
      </c>
      <c r="AC260" s="175"/>
      <c r="AD260" s="202">
        <f>PAProjects[[#This Row],[GOU 24/25]]+PAProjects[[#This Row],[DONOR 24/25]]</f>
        <v>3.8722000000000003</v>
      </c>
    </row>
    <row r="261" spans="1:30" ht="15" customHeight="1" x14ac:dyDescent="0.25">
      <c r="A261" s="180" t="s">
        <v>258</v>
      </c>
      <c r="B261" s="175" t="s">
        <v>1410</v>
      </c>
      <c r="C261" s="175" t="e">
        <f ca="1">PAProjects[[#This Row],[LINKING_CODE]]=_xlfn.CONCAT(PAProjects[[#This Row],[Project Code]]," ",PAProjects[[#This Row],[Project Name]])</f>
        <v>#NAME?</v>
      </c>
      <c r="D261" s="175" t="e">
        <f>VLOOKUP(PAProjects[[#This Row],[LINKING_CODE]],MasterTable[[Project Code and Name ]],1,FALSE)</f>
        <v>#N/A</v>
      </c>
      <c r="E261" s="175" t="s">
        <v>524</v>
      </c>
      <c r="F261" s="175" t="s">
        <v>990</v>
      </c>
      <c r="G261" s="175" t="s">
        <v>67</v>
      </c>
      <c r="H261" s="175" t="str">
        <f>VLOOKUP(I261,'Program Codes'!C:D,2,FALSE)</f>
        <v>13</v>
      </c>
      <c r="I261" s="175" t="s">
        <v>1113</v>
      </c>
      <c r="J261" s="175" t="s">
        <v>1177</v>
      </c>
      <c r="K261" s="175" t="s">
        <v>808</v>
      </c>
      <c r="L261" s="175" t="str">
        <f t="shared" si="37"/>
        <v>Retooling</v>
      </c>
      <c r="M261" s="182">
        <v>44013</v>
      </c>
      <c r="N261" s="182">
        <v>44742</v>
      </c>
      <c r="O261" s="183">
        <v>93.52</v>
      </c>
      <c r="P261" s="174"/>
      <c r="Q261" s="174">
        <f t="shared" si="35"/>
        <v>93.52</v>
      </c>
      <c r="R261" s="174">
        <v>0</v>
      </c>
      <c r="S261" s="202">
        <f t="shared" si="38"/>
        <v>18.704000000000001</v>
      </c>
      <c r="T261" s="175"/>
      <c r="U261" s="202">
        <f>PAProjects[[#This Row],[GOU 21/22]]+PAProjects[[#This Row],[DONOR 21/22]]</f>
        <v>18.704000000000001</v>
      </c>
      <c r="V261" s="202">
        <f t="shared" si="39"/>
        <v>18.704000000000001</v>
      </c>
      <c r="W261" s="175"/>
      <c r="X261" s="202">
        <f>PAProjects[[#This Row],[GOU 22/23]]+PAProjects[[#This Row],[DONOR 22/23]]</f>
        <v>18.704000000000001</v>
      </c>
      <c r="Y261" s="202">
        <f t="shared" si="40"/>
        <v>18.704000000000001</v>
      </c>
      <c r="Z261" s="175"/>
      <c r="AA261" s="202">
        <f t="shared" si="36"/>
        <v>18.704000000000001</v>
      </c>
      <c r="AB261" s="202">
        <f t="shared" si="41"/>
        <v>18.704000000000001</v>
      </c>
      <c r="AC261" s="175"/>
      <c r="AD261" s="202">
        <f>PAProjects[[#This Row],[GOU 24/25]]+PAProjects[[#This Row],[DONOR 24/25]]</f>
        <v>18.704000000000001</v>
      </c>
    </row>
    <row r="262" spans="1:30" ht="15" customHeight="1" x14ac:dyDescent="0.25">
      <c r="A262" s="180" t="s">
        <v>259</v>
      </c>
      <c r="B262" s="175" t="s">
        <v>1411</v>
      </c>
      <c r="C262" s="175" t="e">
        <f ca="1">PAProjects[[#This Row],[LINKING_CODE]]=_xlfn.CONCAT(PAProjects[[#This Row],[Project Code]]," ",PAProjects[[#This Row],[Project Name]])</f>
        <v>#NAME?</v>
      </c>
      <c r="D262" s="175" t="e">
        <f>VLOOKUP(PAProjects[[#This Row],[LINKING_CODE]],MasterTable[[Project Code and Name ]],1,FALSE)</f>
        <v>#N/A</v>
      </c>
      <c r="E262" s="175" t="s">
        <v>524</v>
      </c>
      <c r="F262" s="175" t="s">
        <v>990</v>
      </c>
      <c r="G262" s="175" t="s">
        <v>124</v>
      </c>
      <c r="H262" s="175" t="str">
        <f>VLOOKUP(I262,'Program Codes'!C:D,2,FALSE)</f>
        <v>13</v>
      </c>
      <c r="I262" s="175" t="s">
        <v>1113</v>
      </c>
      <c r="J262" s="175" t="s">
        <v>1178</v>
      </c>
      <c r="K262" s="175" t="s">
        <v>809</v>
      </c>
      <c r="L262" s="175" t="str">
        <f t="shared" si="37"/>
        <v>Retooling</v>
      </c>
      <c r="M262" s="182">
        <v>44013</v>
      </c>
      <c r="N262" s="182">
        <v>44742</v>
      </c>
      <c r="O262" s="183">
        <v>8.3000000000000007</v>
      </c>
      <c r="P262" s="174"/>
      <c r="Q262" s="174">
        <f t="shared" si="35"/>
        <v>8.3000000000000007</v>
      </c>
      <c r="R262" s="174">
        <v>0</v>
      </c>
      <c r="S262" s="202">
        <f t="shared" si="38"/>
        <v>1.6600000000000001</v>
      </c>
      <c r="T262" s="175"/>
      <c r="U262" s="202">
        <f>PAProjects[[#This Row],[GOU 21/22]]+PAProjects[[#This Row],[DONOR 21/22]]</f>
        <v>1.6600000000000001</v>
      </c>
      <c r="V262" s="202">
        <f t="shared" si="39"/>
        <v>1.6600000000000001</v>
      </c>
      <c r="W262" s="175"/>
      <c r="X262" s="202">
        <f>PAProjects[[#This Row],[GOU 22/23]]+PAProjects[[#This Row],[DONOR 22/23]]</f>
        <v>1.6600000000000001</v>
      </c>
      <c r="Y262" s="202">
        <f t="shared" si="40"/>
        <v>1.6600000000000001</v>
      </c>
      <c r="Z262" s="175"/>
      <c r="AA262" s="202">
        <f t="shared" si="36"/>
        <v>1.6600000000000001</v>
      </c>
      <c r="AB262" s="202">
        <f t="shared" si="41"/>
        <v>1.6600000000000001</v>
      </c>
      <c r="AC262" s="175"/>
      <c r="AD262" s="202">
        <f>PAProjects[[#This Row],[GOU 24/25]]+PAProjects[[#This Row],[DONOR 24/25]]</f>
        <v>1.6600000000000001</v>
      </c>
    </row>
    <row r="263" spans="1:30" ht="15" customHeight="1" x14ac:dyDescent="0.25">
      <c r="A263" s="180" t="s">
        <v>260</v>
      </c>
      <c r="B263" s="175" t="s">
        <v>1412</v>
      </c>
      <c r="C263" s="175" t="e">
        <f ca="1">PAProjects[[#This Row],[LINKING_CODE]]=_xlfn.CONCAT(PAProjects[[#This Row],[Project Code]]," ",PAProjects[[#This Row],[Project Name]])</f>
        <v>#NAME?</v>
      </c>
      <c r="D263" s="175" t="str">
        <f>VLOOKUP(PAProjects[[#This Row],[LINKING_CODE]],MasterTable[[Project Code and Name ]],1,FALSE)</f>
        <v>1593 Retooling of Internal Security Organization</v>
      </c>
      <c r="E263" s="175" t="s">
        <v>525</v>
      </c>
      <c r="F263" s="175" t="s">
        <v>952</v>
      </c>
      <c r="G263" s="175" t="s">
        <v>1179</v>
      </c>
      <c r="H263" s="175" t="str">
        <f>VLOOKUP(I263,'Program Codes'!C:D,2,FALSE)</f>
        <v>13</v>
      </c>
      <c r="I263" s="175" t="s">
        <v>1113</v>
      </c>
      <c r="J263" s="175" t="s">
        <v>1180</v>
      </c>
      <c r="K263" s="175" t="s">
        <v>869</v>
      </c>
      <c r="L263" s="175" t="str">
        <f t="shared" si="37"/>
        <v>Retooling</v>
      </c>
      <c r="M263" s="182">
        <v>44013</v>
      </c>
      <c r="N263" s="182">
        <v>44742</v>
      </c>
      <c r="O263" s="204">
        <v>472.16699999999997</v>
      </c>
      <c r="P263" s="174"/>
      <c r="Q263" s="174">
        <f t="shared" si="35"/>
        <v>472.16699999999997</v>
      </c>
      <c r="R263" s="174">
        <v>0</v>
      </c>
      <c r="S263" s="202">
        <f>SUMIFS(MasterTable[Arrears + All Contractual Commitments (value next FY)],MasterTable[[Project Code and Name ]],PAProjects[[#This Row],[LINKING_CODE]],MasterTable[Funding Source],"GoU Funded")/10^9</f>
        <v>159.692082</v>
      </c>
      <c r="T263" s="175"/>
      <c r="U263" s="202">
        <f>PAProjects[[#This Row],[GOU 21/22]]+PAProjects[[#This Row],[DONOR 21/22]]</f>
        <v>159.692082</v>
      </c>
      <c r="V263" s="202">
        <f>SUMIFS(MasterTable[FY1 (FY22-23)],MasterTable[[Project Code and Name ]],PAProjects[[#This Row],[LINKING_CODE]],MasterTable[Funding Source],"GoU Funded")/10^9</f>
        <v>100.613561</v>
      </c>
      <c r="W263" s="175"/>
      <c r="X263" s="202">
        <f>PAProjects[[#This Row],[GOU 22/23]]+PAProjects[[#This Row],[DONOR 22/23]]</f>
        <v>100.613561</v>
      </c>
      <c r="Y263" s="202">
        <f>SUMIFS(MasterTable[FY2 (FY23-24)],MasterTable[[Project Code and Name ]],PAProjects[[#This Row],[LINKING_CODE]],MasterTable[Funding Source],"GoU Funded")/10^9</f>
        <v>126.8891315</v>
      </c>
      <c r="Z263" s="175"/>
      <c r="AA263" s="202">
        <f t="shared" si="36"/>
        <v>126.8891315</v>
      </c>
      <c r="AB263" s="202">
        <f>SUMIFS(MasterTable[FY3 (FY24-25)],MasterTable[[Project Code and Name ]],PAProjects[[#This Row],[LINKING_CODE]],MasterTable[Funding Source],"GoU Funded")/10^9</f>
        <v>125.11403749999999</v>
      </c>
      <c r="AC263" s="175"/>
      <c r="AD263" s="202">
        <f>PAProjects[[#This Row],[GOU 24/25]]+PAProjects[[#This Row],[DONOR 24/25]]</f>
        <v>125.11403749999999</v>
      </c>
    </row>
    <row r="264" spans="1:30" ht="15" customHeight="1" x14ac:dyDescent="0.25">
      <c r="A264" s="180" t="s">
        <v>261</v>
      </c>
      <c r="B264" s="175" t="s">
        <v>1413</v>
      </c>
      <c r="C264" s="175" t="e">
        <f ca="1">PAProjects[[#This Row],[LINKING_CODE]]=_xlfn.CONCAT(PAProjects[[#This Row],[Project Code]]," ",PAProjects[[#This Row],[Project Name]])</f>
        <v>#NAME?</v>
      </c>
      <c r="D264" s="175" t="e">
        <f>VLOOKUP(PAProjects[[#This Row],[LINKING_CODE]],MasterTable[[Project Code and Name ]],1,FALSE)</f>
        <v>#N/A</v>
      </c>
      <c r="E264" s="175" t="s">
        <v>525</v>
      </c>
      <c r="F264" s="175" t="s">
        <v>952</v>
      </c>
      <c r="G264" s="175" t="s">
        <v>32</v>
      </c>
      <c r="H264" s="175" t="str">
        <f>VLOOKUP(I264,'Program Codes'!C:D,2,FALSE)</f>
        <v>13</v>
      </c>
      <c r="I264" s="175" t="s">
        <v>1113</v>
      </c>
      <c r="J264" s="175" t="s">
        <v>1181</v>
      </c>
      <c r="K264" s="175" t="s">
        <v>816</v>
      </c>
      <c r="L264" s="175" t="str">
        <f t="shared" si="37"/>
        <v>Retooling</v>
      </c>
      <c r="M264" s="182">
        <v>44013</v>
      </c>
      <c r="N264" s="182">
        <v>45838</v>
      </c>
      <c r="O264" s="204">
        <v>20.9</v>
      </c>
      <c r="P264" s="174"/>
      <c r="Q264" s="174">
        <f t="shared" si="35"/>
        <v>20.9</v>
      </c>
      <c r="R264" s="174">
        <v>0</v>
      </c>
      <c r="S264" s="202">
        <f t="shared" si="38"/>
        <v>4.18</v>
      </c>
      <c r="T264" s="175"/>
      <c r="U264" s="202">
        <f>PAProjects[[#This Row],[GOU 21/22]]+PAProjects[[#This Row],[DONOR 21/22]]</f>
        <v>4.18</v>
      </c>
      <c r="V264" s="202">
        <f t="shared" si="39"/>
        <v>4.18</v>
      </c>
      <c r="W264" s="175"/>
      <c r="X264" s="202">
        <f>PAProjects[[#This Row],[GOU 22/23]]+PAProjects[[#This Row],[DONOR 22/23]]</f>
        <v>4.18</v>
      </c>
      <c r="Y264" s="202">
        <f t="shared" si="40"/>
        <v>4.18</v>
      </c>
      <c r="Z264" s="175"/>
      <c r="AA264" s="202">
        <f t="shared" ref="AA264:AA281" si="42">SUM(Y264:Z264)</f>
        <v>4.18</v>
      </c>
      <c r="AB264" s="202">
        <f t="shared" si="41"/>
        <v>4.18</v>
      </c>
      <c r="AC264" s="175"/>
      <c r="AD264" s="202">
        <f>PAProjects[[#This Row],[GOU 24/25]]+PAProjects[[#This Row],[DONOR 24/25]]</f>
        <v>4.18</v>
      </c>
    </row>
    <row r="265" spans="1:30" ht="15" customHeight="1" x14ac:dyDescent="0.25">
      <c r="A265" s="180" t="s">
        <v>262</v>
      </c>
      <c r="B265" s="175" t="s">
        <v>1414</v>
      </c>
      <c r="C265" s="175" t="e">
        <f ca="1">PAProjects[[#This Row],[LINKING_CODE]]=_xlfn.CONCAT(PAProjects[[#This Row],[Project Code]]," ",PAProjects[[#This Row],[Project Name]])</f>
        <v>#NAME?</v>
      </c>
      <c r="D265" s="175" t="e">
        <f>VLOOKUP(PAProjects[[#This Row],[LINKING_CODE]],MasterTable[[Project Code and Name ]],1,FALSE)</f>
        <v>#N/A</v>
      </c>
      <c r="E265" s="175" t="s">
        <v>525</v>
      </c>
      <c r="F265" s="175" t="s">
        <v>952</v>
      </c>
      <c r="G265" s="175" t="s">
        <v>159</v>
      </c>
      <c r="H265" s="175" t="str">
        <f>VLOOKUP(I265,'Program Codes'!C:D,2,FALSE)</f>
        <v>13</v>
      </c>
      <c r="I265" s="175" t="s">
        <v>1113</v>
      </c>
      <c r="J265" s="175" t="s">
        <v>1182</v>
      </c>
      <c r="K265" s="175" t="s">
        <v>818</v>
      </c>
      <c r="L265" s="175" t="str">
        <f t="shared" si="37"/>
        <v>Retooling</v>
      </c>
      <c r="M265" s="182">
        <v>44013</v>
      </c>
      <c r="N265" s="182">
        <v>45838</v>
      </c>
      <c r="O265" s="204">
        <v>18.195</v>
      </c>
      <c r="P265" s="174"/>
      <c r="Q265" s="174">
        <f t="shared" si="35"/>
        <v>18.195</v>
      </c>
      <c r="R265" s="174">
        <v>0</v>
      </c>
      <c r="S265" s="202">
        <f t="shared" si="38"/>
        <v>3.6390000000000002</v>
      </c>
      <c r="T265" s="175"/>
      <c r="U265" s="202">
        <f>PAProjects[[#This Row],[GOU 21/22]]+PAProjects[[#This Row],[DONOR 21/22]]</f>
        <v>3.6390000000000002</v>
      </c>
      <c r="V265" s="202">
        <f t="shared" si="39"/>
        <v>3.6390000000000002</v>
      </c>
      <c r="W265" s="175"/>
      <c r="X265" s="202">
        <f>PAProjects[[#This Row],[GOU 22/23]]+PAProjects[[#This Row],[DONOR 22/23]]</f>
        <v>3.6390000000000002</v>
      </c>
      <c r="Y265" s="202">
        <f t="shared" si="40"/>
        <v>3.6390000000000002</v>
      </c>
      <c r="Z265" s="175"/>
      <c r="AA265" s="202">
        <f t="shared" si="42"/>
        <v>3.6390000000000002</v>
      </c>
      <c r="AB265" s="202">
        <f t="shared" si="41"/>
        <v>3.6390000000000002</v>
      </c>
      <c r="AC265" s="175"/>
      <c r="AD265" s="202">
        <f>PAProjects[[#This Row],[GOU 24/25]]+PAProjects[[#This Row],[DONOR 24/25]]</f>
        <v>3.6390000000000002</v>
      </c>
    </row>
    <row r="266" spans="1:30" ht="15" customHeight="1" x14ac:dyDescent="0.25">
      <c r="A266" s="180" t="s">
        <v>263</v>
      </c>
      <c r="B266" s="175" t="s">
        <v>1415</v>
      </c>
      <c r="C266" s="175" t="e">
        <f ca="1">PAProjects[[#This Row],[LINKING_CODE]]=_xlfn.CONCAT(PAProjects[[#This Row],[Project Code]]," ",PAProjects[[#This Row],[Project Name]])</f>
        <v>#NAME?</v>
      </c>
      <c r="D266" s="175" t="e">
        <f>VLOOKUP(PAProjects[[#This Row],[LINKING_CODE]],MasterTable[[Project Code and Name ]],1,FALSE)</f>
        <v>#N/A</v>
      </c>
      <c r="E266" s="175" t="s">
        <v>527</v>
      </c>
      <c r="F266" s="175" t="s">
        <v>929</v>
      </c>
      <c r="G266" s="175" t="s">
        <v>101</v>
      </c>
      <c r="H266" s="175" t="str">
        <f>VLOOKUP(I266,'Program Codes'!C:D,2,FALSE)</f>
        <v>13</v>
      </c>
      <c r="I266" s="175" t="s">
        <v>1113</v>
      </c>
      <c r="J266" s="175" t="s">
        <v>1186</v>
      </c>
      <c r="K266" s="175" t="s">
        <v>833</v>
      </c>
      <c r="L266" s="175" t="str">
        <f t="shared" si="37"/>
        <v>Retooling</v>
      </c>
      <c r="M266" s="182">
        <v>44013</v>
      </c>
      <c r="N266" s="182">
        <v>44742</v>
      </c>
      <c r="O266" s="198">
        <v>82.164900000000003</v>
      </c>
      <c r="P266" s="174"/>
      <c r="Q266" s="174">
        <f t="shared" si="35"/>
        <v>82.164900000000003</v>
      </c>
      <c r="R266" s="174">
        <v>0</v>
      </c>
      <c r="S266" s="202">
        <f t="shared" si="38"/>
        <v>16.432980000000001</v>
      </c>
      <c r="T266" s="175"/>
      <c r="U266" s="202">
        <f>PAProjects[[#This Row],[GOU 21/22]]+PAProjects[[#This Row],[DONOR 21/22]]</f>
        <v>16.432980000000001</v>
      </c>
      <c r="V266" s="202">
        <f t="shared" si="39"/>
        <v>16.432980000000001</v>
      </c>
      <c r="W266" s="175"/>
      <c r="X266" s="202">
        <f>PAProjects[[#This Row],[GOU 22/23]]+PAProjects[[#This Row],[DONOR 22/23]]</f>
        <v>16.432980000000001</v>
      </c>
      <c r="Y266" s="202">
        <f t="shared" si="40"/>
        <v>16.432980000000001</v>
      </c>
      <c r="Z266" s="175"/>
      <c r="AA266" s="202">
        <f t="shared" si="42"/>
        <v>16.432980000000001</v>
      </c>
      <c r="AB266" s="202">
        <f t="shared" si="41"/>
        <v>16.432980000000001</v>
      </c>
      <c r="AC266" s="175"/>
      <c r="AD266" s="202">
        <f>PAProjects[[#This Row],[GOU 24/25]]+PAProjects[[#This Row],[DONOR 24/25]]</f>
        <v>16.432980000000001</v>
      </c>
    </row>
    <row r="267" spans="1:30" ht="15" customHeight="1" x14ac:dyDescent="0.25">
      <c r="A267" s="180" t="s">
        <v>264</v>
      </c>
      <c r="B267" s="175" t="s">
        <v>1416</v>
      </c>
      <c r="C267" s="175" t="e">
        <f ca="1">PAProjects[[#This Row],[LINKING_CODE]]=_xlfn.CONCAT(PAProjects[[#This Row],[Project Code]]," ",PAProjects[[#This Row],[Project Name]])</f>
        <v>#NAME?</v>
      </c>
      <c r="D267" s="175" t="e">
        <f>VLOOKUP(PAProjects[[#This Row],[LINKING_CODE]],MasterTable[[Project Code and Name ]],1,FALSE)</f>
        <v>#N/A</v>
      </c>
      <c r="E267" s="175" t="s">
        <v>527</v>
      </c>
      <c r="F267" s="175" t="s">
        <v>929</v>
      </c>
      <c r="G267" s="175" t="s">
        <v>105</v>
      </c>
      <c r="H267" s="175" t="str">
        <f>VLOOKUP(I267,'Program Codes'!C:D,2,FALSE)</f>
        <v>13</v>
      </c>
      <c r="I267" s="175" t="s">
        <v>1113</v>
      </c>
      <c r="J267" s="175" t="s">
        <v>1187</v>
      </c>
      <c r="K267" s="175" t="s">
        <v>839</v>
      </c>
      <c r="L267" s="175" t="str">
        <f t="shared" si="37"/>
        <v>Retooling</v>
      </c>
      <c r="M267" s="182">
        <v>44013</v>
      </c>
      <c r="N267" s="182">
        <v>44742</v>
      </c>
      <c r="O267" s="198">
        <v>1.5</v>
      </c>
      <c r="P267" s="174"/>
      <c r="Q267" s="174">
        <f t="shared" si="35"/>
        <v>1.5</v>
      </c>
      <c r="R267" s="174">
        <v>0</v>
      </c>
      <c r="S267" s="202">
        <f t="shared" si="38"/>
        <v>0.3</v>
      </c>
      <c r="T267" s="175"/>
      <c r="U267" s="202">
        <f>PAProjects[[#This Row],[GOU 21/22]]+PAProjects[[#This Row],[DONOR 21/22]]</f>
        <v>0.3</v>
      </c>
      <c r="V267" s="202">
        <f t="shared" si="39"/>
        <v>0.3</v>
      </c>
      <c r="W267" s="175"/>
      <c r="X267" s="202">
        <f>PAProjects[[#This Row],[GOU 22/23]]+PAProjects[[#This Row],[DONOR 22/23]]</f>
        <v>0.3</v>
      </c>
      <c r="Y267" s="202">
        <f t="shared" si="40"/>
        <v>0.3</v>
      </c>
      <c r="Z267" s="175"/>
      <c r="AA267" s="202">
        <f t="shared" si="42"/>
        <v>0.3</v>
      </c>
      <c r="AB267" s="202">
        <f t="shared" si="41"/>
        <v>0.3</v>
      </c>
      <c r="AC267" s="175"/>
      <c r="AD267" s="202">
        <f>PAProjects[[#This Row],[GOU 24/25]]+PAProjects[[#This Row],[DONOR 24/25]]</f>
        <v>0.3</v>
      </c>
    </row>
    <row r="268" spans="1:30" ht="15" customHeight="1" x14ac:dyDescent="0.25">
      <c r="A268" s="180" t="s">
        <v>265</v>
      </c>
      <c r="B268" s="175" t="s">
        <v>1417</v>
      </c>
      <c r="C268" s="175" t="e">
        <f ca="1">PAProjects[[#This Row],[LINKING_CODE]]=_xlfn.CONCAT(PAProjects[[#This Row],[Project Code]]," ",PAProjects[[#This Row],[Project Name]])</f>
        <v>#NAME?</v>
      </c>
      <c r="D268" s="175" t="e">
        <f>VLOOKUP(PAProjects[[#This Row],[LINKING_CODE]],MasterTable[[Project Code and Name ]],1,FALSE)</f>
        <v>#N/A</v>
      </c>
      <c r="E268" s="175" t="s">
        <v>527</v>
      </c>
      <c r="F268" s="175" t="s">
        <v>929</v>
      </c>
      <c r="G268" s="175" t="s">
        <v>106</v>
      </c>
      <c r="H268" s="175" t="str">
        <f>VLOOKUP(I268,'Program Codes'!C:D,2,FALSE)</f>
        <v>13</v>
      </c>
      <c r="I268" s="175" t="s">
        <v>1113</v>
      </c>
      <c r="J268" s="175" t="s">
        <v>1188</v>
      </c>
      <c r="K268" s="175" t="s">
        <v>841</v>
      </c>
      <c r="L268" s="175" t="str">
        <f t="shared" si="37"/>
        <v>Retooling</v>
      </c>
      <c r="M268" s="182">
        <v>44013</v>
      </c>
      <c r="N268" s="182">
        <v>44742</v>
      </c>
      <c r="O268" s="198">
        <v>5.1844000000000001</v>
      </c>
      <c r="P268" s="174"/>
      <c r="Q268" s="174">
        <f t="shared" si="35"/>
        <v>5.1844000000000001</v>
      </c>
      <c r="R268" s="174">
        <v>0</v>
      </c>
      <c r="S268" s="202">
        <f t="shared" si="38"/>
        <v>1.03688</v>
      </c>
      <c r="T268" s="175"/>
      <c r="U268" s="202">
        <f>PAProjects[[#This Row],[GOU 21/22]]+PAProjects[[#This Row],[DONOR 21/22]]</f>
        <v>1.03688</v>
      </c>
      <c r="V268" s="202">
        <f t="shared" si="39"/>
        <v>1.03688</v>
      </c>
      <c r="W268" s="175"/>
      <c r="X268" s="202">
        <f>PAProjects[[#This Row],[GOU 22/23]]+PAProjects[[#This Row],[DONOR 22/23]]</f>
        <v>1.03688</v>
      </c>
      <c r="Y268" s="202">
        <f t="shared" si="40"/>
        <v>1.03688</v>
      </c>
      <c r="Z268" s="175"/>
      <c r="AA268" s="202">
        <f t="shared" si="42"/>
        <v>1.03688</v>
      </c>
      <c r="AB268" s="202">
        <f t="shared" si="41"/>
        <v>1.03688</v>
      </c>
      <c r="AC268" s="175"/>
      <c r="AD268" s="202">
        <f>PAProjects[[#This Row],[GOU 24/25]]+PAProjects[[#This Row],[DONOR 24/25]]</f>
        <v>1.03688</v>
      </c>
    </row>
    <row r="269" spans="1:30" ht="15" customHeight="1" x14ac:dyDescent="0.25">
      <c r="A269" s="180" t="s">
        <v>266</v>
      </c>
      <c r="B269" s="175" t="s">
        <v>1418</v>
      </c>
      <c r="C269" s="175" t="e">
        <f ca="1">PAProjects[[#This Row],[LINKING_CODE]]=_xlfn.CONCAT(PAProjects[[#This Row],[Project Code]]," ",PAProjects[[#This Row],[Project Name]])</f>
        <v>#NAME?</v>
      </c>
      <c r="D269" s="175" t="e">
        <f>VLOOKUP(PAProjects[[#This Row],[LINKING_CODE]],MasterTable[[Project Code and Name ]],1,FALSE)</f>
        <v>#N/A</v>
      </c>
      <c r="E269" s="175" t="s">
        <v>527</v>
      </c>
      <c r="F269" s="175" t="s">
        <v>929</v>
      </c>
      <c r="G269" s="175" t="s">
        <v>109</v>
      </c>
      <c r="H269" s="175" t="str">
        <f>VLOOKUP(I269,'Program Codes'!C:D,2,FALSE)</f>
        <v>13</v>
      </c>
      <c r="I269" s="175" t="s">
        <v>1113</v>
      </c>
      <c r="J269" s="175" t="s">
        <v>1189</v>
      </c>
      <c r="K269" s="175" t="s">
        <v>830</v>
      </c>
      <c r="L269" s="175" t="str">
        <f t="shared" si="37"/>
        <v>Retooling</v>
      </c>
      <c r="M269" s="182">
        <v>44013</v>
      </c>
      <c r="N269" s="182">
        <v>44742</v>
      </c>
      <c r="O269" s="198">
        <v>11.093</v>
      </c>
      <c r="P269" s="174"/>
      <c r="Q269" s="174">
        <f t="shared" si="35"/>
        <v>11.093</v>
      </c>
      <c r="R269" s="174">
        <v>0</v>
      </c>
      <c r="S269" s="202">
        <f t="shared" si="38"/>
        <v>2.2185999999999999</v>
      </c>
      <c r="T269" s="175"/>
      <c r="U269" s="202">
        <f>PAProjects[[#This Row],[GOU 21/22]]+PAProjects[[#This Row],[DONOR 21/22]]</f>
        <v>2.2185999999999999</v>
      </c>
      <c r="V269" s="202">
        <f t="shared" si="39"/>
        <v>2.2185999999999999</v>
      </c>
      <c r="W269" s="175"/>
      <c r="X269" s="202">
        <f>PAProjects[[#This Row],[GOU 22/23]]+PAProjects[[#This Row],[DONOR 22/23]]</f>
        <v>2.2185999999999999</v>
      </c>
      <c r="Y269" s="202">
        <f t="shared" si="40"/>
        <v>2.2185999999999999</v>
      </c>
      <c r="Z269" s="175"/>
      <c r="AA269" s="202">
        <f t="shared" si="42"/>
        <v>2.2185999999999999</v>
      </c>
      <c r="AB269" s="202">
        <f t="shared" si="41"/>
        <v>2.2185999999999999</v>
      </c>
      <c r="AC269" s="175"/>
      <c r="AD269" s="202">
        <f>PAProjects[[#This Row],[GOU 24/25]]+PAProjects[[#This Row],[DONOR 24/25]]</f>
        <v>2.2185999999999999</v>
      </c>
    </row>
    <row r="270" spans="1:30" ht="15" customHeight="1" x14ac:dyDescent="0.25">
      <c r="A270" s="180" t="s">
        <v>267</v>
      </c>
      <c r="B270" s="175" t="s">
        <v>1419</v>
      </c>
      <c r="C270" s="175" t="e">
        <f ca="1">PAProjects[[#This Row],[LINKING_CODE]]=_xlfn.CONCAT(PAProjects[[#This Row],[Project Code]]," ",PAProjects[[#This Row],[Project Name]])</f>
        <v>#NAME?</v>
      </c>
      <c r="D270" s="175" t="e">
        <f>VLOOKUP(PAProjects[[#This Row],[LINKING_CODE]],MasterTable[[Project Code and Name ]],1,FALSE)</f>
        <v>#N/A</v>
      </c>
      <c r="E270" s="175" t="s">
        <v>527</v>
      </c>
      <c r="F270" s="175" t="s">
        <v>929</v>
      </c>
      <c r="G270" s="175" t="s">
        <v>119</v>
      </c>
      <c r="H270" s="175" t="str">
        <f>VLOOKUP(I270,'Program Codes'!C:D,2,FALSE)</f>
        <v>13</v>
      </c>
      <c r="I270" s="175" t="s">
        <v>1113</v>
      </c>
      <c r="J270" s="175" t="s">
        <v>1190</v>
      </c>
      <c r="K270" s="175" t="s">
        <v>837</v>
      </c>
      <c r="L270" s="175" t="str">
        <f t="shared" si="37"/>
        <v>Retooling</v>
      </c>
      <c r="M270" s="182">
        <v>44013</v>
      </c>
      <c r="N270" s="182">
        <v>44742</v>
      </c>
      <c r="O270" s="198">
        <v>15.55</v>
      </c>
      <c r="P270" s="174"/>
      <c r="Q270" s="174">
        <f t="shared" si="35"/>
        <v>15.55</v>
      </c>
      <c r="R270" s="174">
        <v>0</v>
      </c>
      <c r="S270" s="202">
        <f t="shared" si="38"/>
        <v>3.1100000000000003</v>
      </c>
      <c r="T270" s="175"/>
      <c r="U270" s="202">
        <f>PAProjects[[#This Row],[GOU 21/22]]+PAProjects[[#This Row],[DONOR 21/22]]</f>
        <v>3.1100000000000003</v>
      </c>
      <c r="V270" s="202">
        <f t="shared" si="39"/>
        <v>3.1100000000000003</v>
      </c>
      <c r="W270" s="175"/>
      <c r="X270" s="202">
        <f>PAProjects[[#This Row],[GOU 22/23]]+PAProjects[[#This Row],[DONOR 22/23]]</f>
        <v>3.1100000000000003</v>
      </c>
      <c r="Y270" s="202">
        <f t="shared" si="40"/>
        <v>3.1100000000000003</v>
      </c>
      <c r="Z270" s="175"/>
      <c r="AA270" s="202">
        <f t="shared" si="42"/>
        <v>3.1100000000000003</v>
      </c>
      <c r="AB270" s="202">
        <f t="shared" si="41"/>
        <v>3.1100000000000003</v>
      </c>
      <c r="AC270" s="175"/>
      <c r="AD270" s="202">
        <f>PAProjects[[#This Row],[GOU 24/25]]+PAProjects[[#This Row],[DONOR 24/25]]</f>
        <v>3.1100000000000003</v>
      </c>
    </row>
    <row r="271" spans="1:30" ht="15" customHeight="1" x14ac:dyDescent="0.25">
      <c r="A271" s="180" t="s">
        <v>268</v>
      </c>
      <c r="B271" s="175" t="s">
        <v>1420</v>
      </c>
      <c r="C271" s="175" t="e">
        <f ca="1">PAProjects[[#This Row],[LINKING_CODE]]=_xlfn.CONCAT(PAProjects[[#This Row],[Project Code]]," ",PAProjects[[#This Row],[Project Name]])</f>
        <v>#NAME?</v>
      </c>
      <c r="D271" s="175" t="e">
        <f>VLOOKUP(PAProjects[[#This Row],[LINKING_CODE]],MasterTable[[Project Code and Name ]],1,FALSE)</f>
        <v>#N/A</v>
      </c>
      <c r="E271" s="175" t="s">
        <v>527</v>
      </c>
      <c r="F271" s="175" t="s">
        <v>929</v>
      </c>
      <c r="G271" s="175" t="s">
        <v>120</v>
      </c>
      <c r="H271" s="175" t="str">
        <f>VLOOKUP(I271,'Program Codes'!C:D,2,FALSE)</f>
        <v>13</v>
      </c>
      <c r="I271" s="175" t="s">
        <v>1113</v>
      </c>
      <c r="J271" s="175" t="s">
        <v>1191</v>
      </c>
      <c r="K271" s="175" t="s">
        <v>842</v>
      </c>
      <c r="L271" s="175" t="str">
        <f t="shared" si="37"/>
        <v>Retooling</v>
      </c>
      <c r="M271" s="182">
        <v>44013</v>
      </c>
      <c r="N271" s="182">
        <v>44742</v>
      </c>
      <c r="O271" s="198">
        <v>36.521328124999997</v>
      </c>
      <c r="P271" s="174"/>
      <c r="Q271" s="174">
        <f t="shared" si="35"/>
        <v>36.521328124999997</v>
      </c>
      <c r="R271" s="174">
        <v>0</v>
      </c>
      <c r="S271" s="202">
        <f t="shared" si="38"/>
        <v>7.3042656249999993</v>
      </c>
      <c r="T271" s="175"/>
      <c r="U271" s="202">
        <f>PAProjects[[#This Row],[GOU 21/22]]+PAProjects[[#This Row],[DONOR 21/22]]</f>
        <v>7.3042656249999993</v>
      </c>
      <c r="V271" s="202">
        <f t="shared" si="39"/>
        <v>7.3042656249999993</v>
      </c>
      <c r="W271" s="175"/>
      <c r="X271" s="202">
        <f>PAProjects[[#This Row],[GOU 22/23]]+PAProjects[[#This Row],[DONOR 22/23]]</f>
        <v>7.3042656249999993</v>
      </c>
      <c r="Y271" s="202">
        <f t="shared" si="40"/>
        <v>7.3042656249999993</v>
      </c>
      <c r="Z271" s="175"/>
      <c r="AA271" s="202">
        <f t="shared" si="42"/>
        <v>7.3042656249999993</v>
      </c>
      <c r="AB271" s="202">
        <f t="shared" si="41"/>
        <v>7.3042656249999993</v>
      </c>
      <c r="AC271" s="175"/>
      <c r="AD271" s="202">
        <f>PAProjects[[#This Row],[GOU 24/25]]+PAProjects[[#This Row],[DONOR 24/25]]</f>
        <v>7.3042656249999993</v>
      </c>
    </row>
    <row r="272" spans="1:30" x14ac:dyDescent="0.25">
      <c r="A272" s="180" t="s">
        <v>269</v>
      </c>
      <c r="B272" s="175" t="s">
        <v>1421</v>
      </c>
      <c r="C272" s="175" t="e">
        <f ca="1">PAProjects[[#This Row],[LINKING_CODE]]=_xlfn.CONCAT(PAProjects[[#This Row],[Project Code]]," ",PAProjects[[#This Row],[Project Name]])</f>
        <v>#NAME?</v>
      </c>
      <c r="D272" s="175" t="e">
        <f>VLOOKUP(PAProjects[[#This Row],[LINKING_CODE]],MasterTable[[Project Code and Name ]],1,FALSE)</f>
        <v>#N/A</v>
      </c>
      <c r="E272" s="175" t="s">
        <v>527</v>
      </c>
      <c r="F272" s="175" t="s">
        <v>929</v>
      </c>
      <c r="G272" s="175" t="s">
        <v>133</v>
      </c>
      <c r="H272" s="175" t="str">
        <f>VLOOKUP(I272,'Program Codes'!C:D,2,FALSE)</f>
        <v>13</v>
      </c>
      <c r="I272" s="175" t="s">
        <v>1113</v>
      </c>
      <c r="J272" s="175" t="s">
        <v>1192</v>
      </c>
      <c r="K272" s="175" t="s">
        <v>834</v>
      </c>
      <c r="L272" s="175" t="str">
        <f t="shared" si="37"/>
        <v>Retooling</v>
      </c>
      <c r="M272" s="182">
        <v>44013</v>
      </c>
      <c r="N272" s="182">
        <v>44742</v>
      </c>
      <c r="O272" s="198">
        <v>116.292</v>
      </c>
      <c r="P272" s="174"/>
      <c r="Q272" s="174">
        <f t="shared" si="35"/>
        <v>116.292</v>
      </c>
      <c r="R272" s="174">
        <v>0</v>
      </c>
      <c r="S272" s="202">
        <f t="shared" si="38"/>
        <v>23.258400000000002</v>
      </c>
      <c r="T272" s="175"/>
      <c r="U272" s="202">
        <f>PAProjects[[#This Row],[GOU 21/22]]+PAProjects[[#This Row],[DONOR 21/22]]</f>
        <v>23.258400000000002</v>
      </c>
      <c r="V272" s="202">
        <f t="shared" si="39"/>
        <v>23.258400000000002</v>
      </c>
      <c r="W272" s="175"/>
      <c r="X272" s="202">
        <f>PAProjects[[#This Row],[GOU 22/23]]+PAProjects[[#This Row],[DONOR 22/23]]</f>
        <v>23.258400000000002</v>
      </c>
      <c r="Y272" s="202">
        <f t="shared" si="40"/>
        <v>23.258400000000002</v>
      </c>
      <c r="Z272" s="175"/>
      <c r="AA272" s="202">
        <f t="shared" si="42"/>
        <v>23.258400000000002</v>
      </c>
      <c r="AB272" s="202">
        <f t="shared" si="41"/>
        <v>23.258400000000002</v>
      </c>
      <c r="AC272" s="175"/>
      <c r="AD272" s="202">
        <f>PAProjects[[#This Row],[GOU 24/25]]+PAProjects[[#This Row],[DONOR 24/25]]</f>
        <v>23.258400000000002</v>
      </c>
    </row>
    <row r="273" spans="1:30" x14ac:dyDescent="0.25">
      <c r="A273" s="180" t="s">
        <v>270</v>
      </c>
      <c r="B273" s="175" t="s">
        <v>1422</v>
      </c>
      <c r="C273" s="175" t="e">
        <f ca="1">PAProjects[[#This Row],[LINKING_CODE]]=_xlfn.CONCAT(PAProjects[[#This Row],[Project Code]]," ",PAProjects[[#This Row],[Project Name]])</f>
        <v>#NAME?</v>
      </c>
      <c r="D273" s="175" t="e">
        <f>VLOOKUP(PAProjects[[#This Row],[LINKING_CODE]],MasterTable[[Project Code and Name ]],1,FALSE)</f>
        <v>#N/A</v>
      </c>
      <c r="E273" s="175" t="s">
        <v>527</v>
      </c>
      <c r="F273" s="175" t="s">
        <v>929</v>
      </c>
      <c r="G273" s="175" t="s">
        <v>144</v>
      </c>
      <c r="H273" s="175" t="str">
        <f>VLOOKUP(I273,'Program Codes'!C:D,2,FALSE)</f>
        <v>13</v>
      </c>
      <c r="I273" s="175" t="s">
        <v>1113</v>
      </c>
      <c r="J273" s="175" t="s">
        <v>1193</v>
      </c>
      <c r="K273" s="175" t="s">
        <v>840</v>
      </c>
      <c r="L273" s="175" t="str">
        <f t="shared" si="37"/>
        <v>Retooling</v>
      </c>
      <c r="M273" s="182">
        <v>44013</v>
      </c>
      <c r="N273" s="182">
        <v>44742</v>
      </c>
      <c r="O273" s="198">
        <v>2057</v>
      </c>
      <c r="P273" s="174"/>
      <c r="Q273" s="174">
        <f t="shared" si="35"/>
        <v>2057</v>
      </c>
      <c r="R273" s="174">
        <v>0</v>
      </c>
      <c r="S273" s="202">
        <f t="shared" si="38"/>
        <v>411.4</v>
      </c>
      <c r="T273" s="175"/>
      <c r="U273" s="202">
        <f>PAProjects[[#This Row],[GOU 21/22]]+PAProjects[[#This Row],[DONOR 21/22]]</f>
        <v>411.4</v>
      </c>
      <c r="V273" s="202">
        <f t="shared" si="39"/>
        <v>411.4</v>
      </c>
      <c r="W273" s="175"/>
      <c r="X273" s="202">
        <f>PAProjects[[#This Row],[GOU 22/23]]+PAProjects[[#This Row],[DONOR 22/23]]</f>
        <v>411.4</v>
      </c>
      <c r="Y273" s="202">
        <f t="shared" si="40"/>
        <v>411.4</v>
      </c>
      <c r="Z273" s="175"/>
      <c r="AA273" s="202">
        <f t="shared" si="42"/>
        <v>411.4</v>
      </c>
      <c r="AB273" s="202">
        <f t="shared" si="41"/>
        <v>411.4</v>
      </c>
      <c r="AC273" s="175"/>
      <c r="AD273" s="202">
        <f>PAProjects[[#This Row],[GOU 24/25]]+PAProjects[[#This Row],[DONOR 24/25]]</f>
        <v>411.4</v>
      </c>
    </row>
    <row r="274" spans="1:30" x14ac:dyDescent="0.25">
      <c r="A274" s="180" t="s">
        <v>271</v>
      </c>
      <c r="B274" s="175" t="s">
        <v>1423</v>
      </c>
      <c r="C274" s="175" t="e">
        <f ca="1">PAProjects[[#This Row],[LINKING_CODE]]=_xlfn.CONCAT(PAProjects[[#This Row],[Project Code]]," ",PAProjects[[#This Row],[Project Name]])</f>
        <v>#NAME?</v>
      </c>
      <c r="D274" s="175" t="e">
        <f>VLOOKUP(PAProjects[[#This Row],[LINKING_CODE]],MasterTable[[Project Code and Name ]],1,FALSE)</f>
        <v>#N/A</v>
      </c>
      <c r="E274" s="175" t="s">
        <v>527</v>
      </c>
      <c r="F274" s="175" t="s">
        <v>929</v>
      </c>
      <c r="G274" s="175" t="s">
        <v>145</v>
      </c>
      <c r="H274" s="175" t="str">
        <f>VLOOKUP(I274,'Program Codes'!C:D,2,FALSE)</f>
        <v>13</v>
      </c>
      <c r="I274" s="175" t="s">
        <v>1113</v>
      </c>
      <c r="J274" s="175" t="s">
        <v>1194</v>
      </c>
      <c r="K274" s="175" t="s">
        <v>832</v>
      </c>
      <c r="L274" s="175" t="str">
        <f t="shared" si="37"/>
        <v>Retooling</v>
      </c>
      <c r="M274" s="182">
        <v>44013</v>
      </c>
      <c r="N274" s="182">
        <v>44742</v>
      </c>
      <c r="O274" s="198">
        <v>50.304650000000002</v>
      </c>
      <c r="P274" s="174"/>
      <c r="Q274" s="174">
        <f t="shared" si="35"/>
        <v>50.304650000000002</v>
      </c>
      <c r="R274" s="174">
        <v>0</v>
      </c>
      <c r="S274" s="202">
        <f t="shared" si="38"/>
        <v>10.060930000000001</v>
      </c>
      <c r="T274" s="175"/>
      <c r="U274" s="202">
        <f>PAProjects[[#This Row],[GOU 21/22]]+PAProjects[[#This Row],[DONOR 21/22]]</f>
        <v>10.060930000000001</v>
      </c>
      <c r="V274" s="202">
        <f t="shared" si="39"/>
        <v>10.060930000000001</v>
      </c>
      <c r="W274" s="175"/>
      <c r="X274" s="202">
        <f>PAProjects[[#This Row],[GOU 22/23]]+PAProjects[[#This Row],[DONOR 22/23]]</f>
        <v>10.060930000000001</v>
      </c>
      <c r="Y274" s="202">
        <f t="shared" si="40"/>
        <v>10.060930000000001</v>
      </c>
      <c r="Z274" s="175"/>
      <c r="AA274" s="202">
        <f t="shared" si="42"/>
        <v>10.060930000000001</v>
      </c>
      <c r="AB274" s="202">
        <f t="shared" si="41"/>
        <v>10.060930000000001</v>
      </c>
      <c r="AC274" s="175"/>
      <c r="AD274" s="202">
        <f>PAProjects[[#This Row],[GOU 24/25]]+PAProjects[[#This Row],[DONOR 24/25]]</f>
        <v>10.060930000000001</v>
      </c>
    </row>
    <row r="275" spans="1:30" x14ac:dyDescent="0.25">
      <c r="A275" s="180" t="s">
        <v>272</v>
      </c>
      <c r="B275" s="175" t="s">
        <v>1424</v>
      </c>
      <c r="C275" s="175" t="e">
        <f ca="1">PAProjects[[#This Row],[LINKING_CODE]]=_xlfn.CONCAT(PAProjects[[#This Row],[Project Code]]," ",PAProjects[[#This Row],[Project Name]])</f>
        <v>#NAME?</v>
      </c>
      <c r="D275" s="175" t="e">
        <f>VLOOKUP(PAProjects[[#This Row],[LINKING_CODE]],MasterTable[[Project Code and Name ]],1,FALSE)</f>
        <v>#N/A</v>
      </c>
      <c r="E275" s="175" t="s">
        <v>527</v>
      </c>
      <c r="F275" s="175" t="s">
        <v>929</v>
      </c>
      <c r="G275" s="175" t="s">
        <v>148</v>
      </c>
      <c r="H275" s="175" t="str">
        <f>VLOOKUP(I275,'Program Codes'!C:D,2,FALSE)</f>
        <v>13</v>
      </c>
      <c r="I275" s="175" t="s">
        <v>1113</v>
      </c>
      <c r="J275" s="175" t="s">
        <v>1195</v>
      </c>
      <c r="K275" s="175" t="s">
        <v>835</v>
      </c>
      <c r="L275" s="175" t="str">
        <f t="shared" si="37"/>
        <v>Retooling</v>
      </c>
      <c r="M275" s="182">
        <v>44013</v>
      </c>
      <c r="N275" s="182">
        <v>44742</v>
      </c>
      <c r="O275" s="198">
        <v>6.43</v>
      </c>
      <c r="P275" s="174"/>
      <c r="Q275" s="174">
        <f t="shared" si="35"/>
        <v>6.43</v>
      </c>
      <c r="R275" s="174">
        <v>0</v>
      </c>
      <c r="S275" s="202">
        <f t="shared" si="38"/>
        <v>1.286</v>
      </c>
      <c r="T275" s="175"/>
      <c r="U275" s="202">
        <f>PAProjects[[#This Row],[GOU 21/22]]+PAProjects[[#This Row],[DONOR 21/22]]</f>
        <v>1.286</v>
      </c>
      <c r="V275" s="202">
        <f t="shared" si="39"/>
        <v>1.286</v>
      </c>
      <c r="W275" s="175"/>
      <c r="X275" s="202">
        <f>PAProjects[[#This Row],[GOU 22/23]]+PAProjects[[#This Row],[DONOR 22/23]]</f>
        <v>1.286</v>
      </c>
      <c r="Y275" s="202">
        <f t="shared" si="40"/>
        <v>1.286</v>
      </c>
      <c r="Z275" s="175"/>
      <c r="AA275" s="202">
        <f t="shared" si="42"/>
        <v>1.286</v>
      </c>
      <c r="AB275" s="202">
        <f t="shared" si="41"/>
        <v>1.286</v>
      </c>
      <c r="AC275" s="175"/>
      <c r="AD275" s="202">
        <f>PAProjects[[#This Row],[GOU 24/25]]+PAProjects[[#This Row],[DONOR 24/25]]</f>
        <v>1.286</v>
      </c>
    </row>
    <row r="276" spans="1:30" x14ac:dyDescent="0.25">
      <c r="A276" s="180" t="s">
        <v>273</v>
      </c>
      <c r="B276" s="175" t="s">
        <v>1425</v>
      </c>
      <c r="C276" s="175" t="e">
        <f ca="1">PAProjects[[#This Row],[LINKING_CODE]]=_xlfn.CONCAT(PAProjects[[#This Row],[Project Code]]," ",PAProjects[[#This Row],[Project Name]])</f>
        <v>#NAME?</v>
      </c>
      <c r="D276" s="175" t="e">
        <f>VLOOKUP(PAProjects[[#This Row],[LINKING_CODE]],MasterTable[[Project Code and Name ]],1,FALSE)</f>
        <v>#N/A</v>
      </c>
      <c r="E276" s="175" t="s">
        <v>527</v>
      </c>
      <c r="F276" s="175" t="s">
        <v>929</v>
      </c>
      <c r="G276" s="175" t="s">
        <v>305</v>
      </c>
      <c r="H276" s="175" t="str">
        <f>VLOOKUP(I276,'Program Codes'!C:D,2,FALSE)</f>
        <v>13</v>
      </c>
      <c r="I276" s="175" t="s">
        <v>1113</v>
      </c>
      <c r="J276" s="175" t="s">
        <v>1196</v>
      </c>
      <c r="K276" s="175" t="s">
        <v>1197</v>
      </c>
      <c r="L276" s="175" t="str">
        <f t="shared" si="37"/>
        <v>Retooling</v>
      </c>
      <c r="M276" s="182">
        <v>44013</v>
      </c>
      <c r="N276" s="182">
        <v>44742</v>
      </c>
      <c r="O276" s="198">
        <v>86.863699999999994</v>
      </c>
      <c r="P276" s="174"/>
      <c r="Q276" s="174">
        <f t="shared" ref="Q276:Q307" si="43">SUM(O276:P276)</f>
        <v>86.863699999999994</v>
      </c>
      <c r="R276" s="174">
        <v>0</v>
      </c>
      <c r="S276" s="202">
        <f t="shared" si="38"/>
        <v>17.37274</v>
      </c>
      <c r="T276" s="175"/>
      <c r="U276" s="202">
        <f>PAProjects[[#This Row],[GOU 21/22]]+PAProjects[[#This Row],[DONOR 21/22]]</f>
        <v>17.37274</v>
      </c>
      <c r="V276" s="202">
        <f t="shared" si="39"/>
        <v>17.37274</v>
      </c>
      <c r="W276" s="175"/>
      <c r="X276" s="202">
        <f>PAProjects[[#This Row],[GOU 22/23]]+PAProjects[[#This Row],[DONOR 22/23]]</f>
        <v>17.37274</v>
      </c>
      <c r="Y276" s="202">
        <f t="shared" si="40"/>
        <v>17.37274</v>
      </c>
      <c r="Z276" s="175"/>
      <c r="AA276" s="202">
        <f t="shared" si="42"/>
        <v>17.37274</v>
      </c>
      <c r="AB276" s="202">
        <f t="shared" si="41"/>
        <v>17.37274</v>
      </c>
      <c r="AC276" s="175"/>
      <c r="AD276" s="202">
        <f>PAProjects[[#This Row],[GOU 24/25]]+PAProjects[[#This Row],[DONOR 24/25]]</f>
        <v>17.37274</v>
      </c>
    </row>
    <row r="277" spans="1:30" x14ac:dyDescent="0.25">
      <c r="A277" s="180" t="s">
        <v>274</v>
      </c>
      <c r="B277" s="175" t="s">
        <v>1426</v>
      </c>
      <c r="C277" s="175" t="e">
        <f ca="1">PAProjects[[#This Row],[LINKING_CODE]]=_xlfn.CONCAT(PAProjects[[#This Row],[Project Code]]," ",PAProjects[[#This Row],[Project Name]])</f>
        <v>#NAME?</v>
      </c>
      <c r="D277" s="175" t="e">
        <f>VLOOKUP(PAProjects[[#This Row],[LINKING_CODE]],MasterTable[[Project Code and Name ]],1,FALSE)</f>
        <v>#N/A</v>
      </c>
      <c r="E277" s="175" t="s">
        <v>527</v>
      </c>
      <c r="F277" s="175" t="s">
        <v>929</v>
      </c>
      <c r="G277" s="175" t="s">
        <v>309</v>
      </c>
      <c r="H277" s="175" t="str">
        <f>VLOOKUP(I277,'Program Codes'!C:D,2,FALSE)</f>
        <v>13</v>
      </c>
      <c r="I277" s="175" t="s">
        <v>1113</v>
      </c>
      <c r="J277" s="175" t="s">
        <v>1198</v>
      </c>
      <c r="K277" s="175" t="s">
        <v>838</v>
      </c>
      <c r="L277" s="175" t="str">
        <f t="shared" si="37"/>
        <v>Retooling</v>
      </c>
      <c r="M277" s="182">
        <v>44013</v>
      </c>
      <c r="N277" s="182">
        <v>44742</v>
      </c>
      <c r="O277" s="198">
        <v>186.5659</v>
      </c>
      <c r="P277" s="174"/>
      <c r="Q277" s="174">
        <f t="shared" si="43"/>
        <v>186.5659</v>
      </c>
      <c r="R277" s="174">
        <v>0</v>
      </c>
      <c r="S277" s="202">
        <f t="shared" si="38"/>
        <v>37.313180000000003</v>
      </c>
      <c r="T277" s="175"/>
      <c r="U277" s="202">
        <f>PAProjects[[#This Row],[GOU 21/22]]+PAProjects[[#This Row],[DONOR 21/22]]</f>
        <v>37.313180000000003</v>
      </c>
      <c r="V277" s="202">
        <f t="shared" si="39"/>
        <v>37.313180000000003</v>
      </c>
      <c r="W277" s="175"/>
      <c r="X277" s="202">
        <f>PAProjects[[#This Row],[GOU 22/23]]+PAProjects[[#This Row],[DONOR 22/23]]</f>
        <v>37.313180000000003</v>
      </c>
      <c r="Y277" s="202">
        <f t="shared" si="40"/>
        <v>37.313180000000003</v>
      </c>
      <c r="Z277" s="175"/>
      <c r="AA277" s="202">
        <f t="shared" si="42"/>
        <v>37.313180000000003</v>
      </c>
      <c r="AB277" s="202">
        <f t="shared" si="41"/>
        <v>37.313180000000003</v>
      </c>
      <c r="AC277" s="175"/>
      <c r="AD277" s="202">
        <f>PAProjects[[#This Row],[GOU 24/25]]+PAProjects[[#This Row],[DONOR 24/25]]</f>
        <v>37.313180000000003</v>
      </c>
    </row>
    <row r="278" spans="1:30" x14ac:dyDescent="0.25">
      <c r="A278" s="180" t="s">
        <v>275</v>
      </c>
      <c r="B278" s="175" t="s">
        <v>1427</v>
      </c>
      <c r="C278" s="175" t="e">
        <f ca="1">PAProjects[[#This Row],[LINKING_CODE]]=_xlfn.CONCAT(PAProjects[[#This Row],[Project Code]]," ",PAProjects[[#This Row],[Project Name]])</f>
        <v>#NAME?</v>
      </c>
      <c r="D278" s="175" t="e">
        <f>VLOOKUP(PAProjects[[#This Row],[LINKING_CODE]],MasterTable[[Project Code and Name ]],1,FALSE)</f>
        <v>#N/A</v>
      </c>
      <c r="E278" s="175" t="s">
        <v>529</v>
      </c>
      <c r="F278" s="175" t="s">
        <v>934</v>
      </c>
      <c r="G278" s="175" t="s">
        <v>33</v>
      </c>
      <c r="H278" s="175" t="str">
        <f>VLOOKUP(I278,'Program Codes'!C:D,2,FALSE)</f>
        <v>13</v>
      </c>
      <c r="I278" s="175" t="s">
        <v>1113</v>
      </c>
      <c r="J278" s="175" t="s">
        <v>1200</v>
      </c>
      <c r="K278" s="175" t="s">
        <v>1201</v>
      </c>
      <c r="L278" s="175" t="str">
        <f t="shared" si="37"/>
        <v>Retooling</v>
      </c>
      <c r="M278" s="182">
        <v>44013</v>
      </c>
      <c r="N278" s="182">
        <v>44742</v>
      </c>
      <c r="O278" s="198">
        <v>24.565000000000001</v>
      </c>
      <c r="P278" s="174"/>
      <c r="Q278" s="174">
        <f t="shared" si="43"/>
        <v>24.565000000000001</v>
      </c>
      <c r="R278" s="174">
        <v>0</v>
      </c>
      <c r="S278" s="202">
        <f t="shared" si="38"/>
        <v>4.9130000000000003</v>
      </c>
      <c r="T278" s="175"/>
      <c r="U278" s="202">
        <f>PAProjects[[#This Row],[GOU 21/22]]+PAProjects[[#This Row],[DONOR 21/22]]</f>
        <v>4.9130000000000003</v>
      </c>
      <c r="V278" s="202">
        <f t="shared" si="39"/>
        <v>4.9130000000000003</v>
      </c>
      <c r="W278" s="175"/>
      <c r="X278" s="202">
        <f>PAProjects[[#This Row],[GOU 22/23]]+PAProjects[[#This Row],[DONOR 22/23]]</f>
        <v>4.9130000000000003</v>
      </c>
      <c r="Y278" s="202">
        <f t="shared" si="40"/>
        <v>4.9130000000000003</v>
      </c>
      <c r="Z278" s="175"/>
      <c r="AA278" s="202">
        <f t="shared" si="42"/>
        <v>4.9130000000000003</v>
      </c>
      <c r="AB278" s="202">
        <f t="shared" si="41"/>
        <v>4.9130000000000003</v>
      </c>
      <c r="AC278" s="175"/>
      <c r="AD278" s="202">
        <f>PAProjects[[#This Row],[GOU 24/25]]+PAProjects[[#This Row],[DONOR 24/25]]</f>
        <v>4.9130000000000003</v>
      </c>
    </row>
    <row r="279" spans="1:30" x14ac:dyDescent="0.25">
      <c r="A279" s="180" t="s">
        <v>276</v>
      </c>
      <c r="B279" s="175" t="s">
        <v>1428</v>
      </c>
      <c r="C279" s="175" t="e">
        <f ca="1">PAProjects[[#This Row],[LINKING_CODE]]=_xlfn.CONCAT(PAProjects[[#This Row],[Project Code]]," ",PAProjects[[#This Row],[Project Name]])</f>
        <v>#NAME?</v>
      </c>
      <c r="D279" s="175" t="e">
        <f>VLOOKUP(PAProjects[[#This Row],[LINKING_CODE]],MasterTable[[Project Code and Name ]],1,FALSE)</f>
        <v>#N/A</v>
      </c>
      <c r="E279" s="175" t="s">
        <v>529</v>
      </c>
      <c r="F279" s="175" t="s">
        <v>934</v>
      </c>
      <c r="G279" s="175" t="s">
        <v>70</v>
      </c>
      <c r="H279" s="175" t="str">
        <f>VLOOKUP(I279,'Program Codes'!C:D,2,FALSE)</f>
        <v>13</v>
      </c>
      <c r="I279" s="175" t="s">
        <v>1113</v>
      </c>
      <c r="J279" s="175" t="s">
        <v>1202</v>
      </c>
      <c r="K279" s="175" t="s">
        <v>848</v>
      </c>
      <c r="L279" s="175" t="str">
        <f t="shared" si="37"/>
        <v>Retooling</v>
      </c>
      <c r="M279" s="182">
        <v>44013</v>
      </c>
      <c r="N279" s="182">
        <v>44742</v>
      </c>
      <c r="O279" s="198">
        <v>26.838999999999999</v>
      </c>
      <c r="P279" s="174"/>
      <c r="Q279" s="174">
        <f t="shared" si="43"/>
        <v>26.838999999999999</v>
      </c>
      <c r="R279" s="174">
        <v>0</v>
      </c>
      <c r="S279" s="202">
        <f t="shared" si="38"/>
        <v>5.3677999999999999</v>
      </c>
      <c r="T279" s="175"/>
      <c r="U279" s="202">
        <f>PAProjects[[#This Row],[GOU 21/22]]+PAProjects[[#This Row],[DONOR 21/22]]</f>
        <v>5.3677999999999999</v>
      </c>
      <c r="V279" s="202">
        <f t="shared" si="39"/>
        <v>5.3677999999999999</v>
      </c>
      <c r="W279" s="175"/>
      <c r="X279" s="202">
        <f>PAProjects[[#This Row],[GOU 22/23]]+PAProjects[[#This Row],[DONOR 22/23]]</f>
        <v>5.3677999999999999</v>
      </c>
      <c r="Y279" s="202">
        <f t="shared" si="40"/>
        <v>5.3677999999999999</v>
      </c>
      <c r="Z279" s="175"/>
      <c r="AA279" s="202">
        <f t="shared" si="42"/>
        <v>5.3677999999999999</v>
      </c>
      <c r="AB279" s="202">
        <f t="shared" si="41"/>
        <v>5.3677999999999999</v>
      </c>
      <c r="AC279" s="175"/>
      <c r="AD279" s="202">
        <f>PAProjects[[#This Row],[GOU 24/25]]+PAProjects[[#This Row],[DONOR 24/25]]</f>
        <v>5.3677999999999999</v>
      </c>
    </row>
    <row r="280" spans="1:30" x14ac:dyDescent="0.25">
      <c r="A280" s="180" t="s">
        <v>277</v>
      </c>
      <c r="B280" s="175" t="s">
        <v>1429</v>
      </c>
      <c r="C280" s="175" t="e">
        <f ca="1">PAProjects[[#This Row],[LINKING_CODE]]=_xlfn.CONCAT(PAProjects[[#This Row],[Project Code]]," ",PAProjects[[#This Row],[Project Name]])</f>
        <v>#NAME?</v>
      </c>
      <c r="D280" s="175" t="e">
        <f>VLOOKUP(PAProjects[[#This Row],[LINKING_CODE]],MasterTable[[Project Code and Name ]],1,FALSE)</f>
        <v>#N/A</v>
      </c>
      <c r="E280" s="175" t="s">
        <v>529</v>
      </c>
      <c r="F280" s="175" t="s">
        <v>934</v>
      </c>
      <c r="G280" s="175" t="s">
        <v>108</v>
      </c>
      <c r="H280" s="175" t="str">
        <f>VLOOKUP(I280,'Program Codes'!C:D,2,FALSE)</f>
        <v>13</v>
      </c>
      <c r="I280" s="175" t="s">
        <v>1113</v>
      </c>
      <c r="J280" s="175" t="s">
        <v>1203</v>
      </c>
      <c r="K280" s="175" t="s">
        <v>845</v>
      </c>
      <c r="L280" s="175" t="str">
        <f t="shared" si="37"/>
        <v>Retooling</v>
      </c>
      <c r="M280" s="182">
        <v>44013</v>
      </c>
      <c r="N280" s="182">
        <v>44742</v>
      </c>
      <c r="O280" s="198">
        <v>29.25</v>
      </c>
      <c r="P280" s="174"/>
      <c r="Q280" s="174">
        <f t="shared" si="43"/>
        <v>29.25</v>
      </c>
      <c r="R280" s="174">
        <v>0</v>
      </c>
      <c r="S280" s="202">
        <f t="shared" si="38"/>
        <v>5.85</v>
      </c>
      <c r="T280" s="175"/>
      <c r="U280" s="202">
        <f>PAProjects[[#This Row],[GOU 21/22]]+PAProjects[[#This Row],[DONOR 21/22]]</f>
        <v>5.85</v>
      </c>
      <c r="V280" s="202">
        <f t="shared" si="39"/>
        <v>5.85</v>
      </c>
      <c r="W280" s="175"/>
      <c r="X280" s="202">
        <f>PAProjects[[#This Row],[GOU 22/23]]+PAProjects[[#This Row],[DONOR 22/23]]</f>
        <v>5.85</v>
      </c>
      <c r="Y280" s="202">
        <f t="shared" si="40"/>
        <v>5.85</v>
      </c>
      <c r="Z280" s="175"/>
      <c r="AA280" s="202">
        <f t="shared" si="42"/>
        <v>5.85</v>
      </c>
      <c r="AB280" s="202">
        <f t="shared" si="41"/>
        <v>5.85</v>
      </c>
      <c r="AC280" s="175"/>
      <c r="AD280" s="202">
        <f>PAProjects[[#This Row],[GOU 24/25]]+PAProjects[[#This Row],[DONOR 24/25]]</f>
        <v>5.85</v>
      </c>
    </row>
    <row r="281" spans="1:30" x14ac:dyDescent="0.25">
      <c r="A281" s="180" t="s">
        <v>278</v>
      </c>
      <c r="B281" s="175" t="s">
        <v>1430</v>
      </c>
      <c r="C281" s="175" t="e">
        <f ca="1">PAProjects[[#This Row],[LINKING_CODE]]=_xlfn.CONCAT(PAProjects[[#This Row],[Project Code]]," ",PAProjects[[#This Row],[Project Name]])</f>
        <v>#NAME?</v>
      </c>
      <c r="D281" s="175" t="e">
        <f>VLOOKUP(PAProjects[[#This Row],[LINKING_CODE]],MasterTable[[Project Code and Name ]],1,FALSE)</f>
        <v>#N/A</v>
      </c>
      <c r="E281" s="175" t="s">
        <v>529</v>
      </c>
      <c r="F281" s="175" t="s">
        <v>934</v>
      </c>
      <c r="G281" s="175" t="s">
        <v>146</v>
      </c>
      <c r="H281" s="175" t="str">
        <f>VLOOKUP(I281,'Program Codes'!C:D,2,FALSE)</f>
        <v>13</v>
      </c>
      <c r="I281" s="175" t="s">
        <v>1113</v>
      </c>
      <c r="J281" s="175" t="s">
        <v>1204</v>
      </c>
      <c r="K281" s="175" t="s">
        <v>847</v>
      </c>
      <c r="L281" s="175" t="str">
        <f t="shared" si="37"/>
        <v>Retooling</v>
      </c>
      <c r="M281" s="182">
        <v>44013</v>
      </c>
      <c r="N281" s="182">
        <v>44742</v>
      </c>
      <c r="O281" s="174">
        <v>131</v>
      </c>
      <c r="P281" s="174"/>
      <c r="Q281" s="174">
        <f t="shared" si="43"/>
        <v>131</v>
      </c>
      <c r="R281" s="174">
        <v>0</v>
      </c>
      <c r="S281" s="202">
        <f t="shared" si="38"/>
        <v>26.2</v>
      </c>
      <c r="T281" s="175"/>
      <c r="U281" s="202">
        <f>PAProjects[[#This Row],[GOU 21/22]]+PAProjects[[#This Row],[DONOR 21/22]]</f>
        <v>26.2</v>
      </c>
      <c r="V281" s="202">
        <f t="shared" si="39"/>
        <v>26.2</v>
      </c>
      <c r="W281" s="175"/>
      <c r="X281" s="202">
        <f>PAProjects[[#This Row],[GOU 22/23]]+PAProjects[[#This Row],[DONOR 22/23]]</f>
        <v>26.2</v>
      </c>
      <c r="Y281" s="202">
        <f t="shared" si="40"/>
        <v>26.2</v>
      </c>
      <c r="Z281" s="175"/>
      <c r="AA281" s="202">
        <f t="shared" si="42"/>
        <v>26.2</v>
      </c>
      <c r="AB281" s="202">
        <f t="shared" si="41"/>
        <v>26.2</v>
      </c>
      <c r="AC281" s="175"/>
      <c r="AD281" s="202">
        <f>PAProjects[[#This Row],[GOU 24/25]]+PAProjects[[#This Row],[DONOR 24/25]]</f>
        <v>26.2</v>
      </c>
    </row>
    <row r="282" spans="1:30" x14ac:dyDescent="0.25">
      <c r="A282" s="180" t="s">
        <v>279</v>
      </c>
      <c r="B282" s="175" t="s">
        <v>1431</v>
      </c>
      <c r="C282" s="175" t="e">
        <f ca="1">PAProjects[[#This Row],[LINKING_CODE]]=_xlfn.CONCAT(PAProjects[[#This Row],[Project Code]]," ",PAProjects[[#This Row],[Project Name]])</f>
        <v>#NAME?</v>
      </c>
      <c r="D282" s="175" t="e">
        <f>VLOOKUP(PAProjects[[#This Row],[LINKING_CODE]],MasterTable[[Project Code and Name ]],1,FALSE)</f>
        <v>#N/A</v>
      </c>
      <c r="E282" s="175" t="s">
        <v>531</v>
      </c>
      <c r="F282" s="175" t="s">
        <v>940</v>
      </c>
      <c r="G282" s="175" t="s">
        <v>941</v>
      </c>
      <c r="H282" s="175" t="str">
        <f>VLOOKUP(I282,'Program Codes'!C:D,2,FALSE)</f>
        <v>13</v>
      </c>
      <c r="I282" s="175" t="s">
        <v>1113</v>
      </c>
      <c r="J282" s="175" t="s">
        <v>852</v>
      </c>
      <c r="K282" s="175" t="s">
        <v>1205</v>
      </c>
      <c r="L282" s="175" t="s">
        <v>1509</v>
      </c>
      <c r="M282" s="188">
        <v>42186</v>
      </c>
      <c r="N282" s="182">
        <v>44742</v>
      </c>
      <c r="O282" s="183"/>
      <c r="P282" s="184">
        <v>6.26</v>
      </c>
      <c r="Q282" s="174">
        <f t="shared" si="43"/>
        <v>6.26</v>
      </c>
      <c r="R282" s="174">
        <v>0</v>
      </c>
      <c r="S282" s="175"/>
      <c r="T282" s="175">
        <v>1.57</v>
      </c>
      <c r="U282" s="191">
        <f>PAProjects[[#This Row],[GOU 21/22]]+PAProjects[[#This Row],[DONOR 21/22]]</f>
        <v>1.57</v>
      </c>
      <c r="V282" s="175"/>
      <c r="W282" s="175">
        <v>1.57</v>
      </c>
      <c r="X282" s="191">
        <f>PAProjects[[#This Row],[GOU 22/23]]+PAProjects[[#This Row],[DONOR 22/23]]</f>
        <v>1.57</v>
      </c>
      <c r="Y282" s="175"/>
      <c r="Z282" s="175"/>
      <c r="AA282" s="175"/>
      <c r="AB282" s="175"/>
      <c r="AC282" s="175"/>
      <c r="AD282" s="191">
        <f>PAProjects[[#This Row],[GOU 24/25]]+PAProjects[[#This Row],[DONOR 24/25]]</f>
        <v>0</v>
      </c>
    </row>
    <row r="283" spans="1:30" x14ac:dyDescent="0.25">
      <c r="A283" s="180" t="s">
        <v>280</v>
      </c>
      <c r="B283" s="175" t="s">
        <v>1432</v>
      </c>
      <c r="C283" s="175" t="e">
        <f ca="1">PAProjects[[#This Row],[LINKING_CODE]]=_xlfn.CONCAT(PAProjects[[#This Row],[Project Code]]," ",PAProjects[[#This Row],[Project Name]])</f>
        <v>#NAME?</v>
      </c>
      <c r="D283" s="175" t="e">
        <f>VLOOKUP(PAProjects[[#This Row],[LINKING_CODE]],MasterTable[[Project Code and Name ]],1,FALSE)</f>
        <v>#N/A</v>
      </c>
      <c r="E283" s="175" t="s">
        <v>531</v>
      </c>
      <c r="F283" s="175" t="s">
        <v>940</v>
      </c>
      <c r="G283" s="175" t="s">
        <v>941</v>
      </c>
      <c r="H283" s="175" t="str">
        <f>VLOOKUP(I283,'Program Codes'!C:D,2,FALSE)</f>
        <v>13</v>
      </c>
      <c r="I283" s="175" t="s">
        <v>1113</v>
      </c>
      <c r="J283" s="175" t="s">
        <v>1206</v>
      </c>
      <c r="K283" s="175" t="s">
        <v>861</v>
      </c>
      <c r="L283" s="175" t="str">
        <f t="shared" si="37"/>
        <v>Retooling</v>
      </c>
      <c r="M283" s="188">
        <v>44013</v>
      </c>
      <c r="N283" s="182">
        <v>44742</v>
      </c>
      <c r="O283" s="204">
        <v>624.75</v>
      </c>
      <c r="P283" s="174"/>
      <c r="Q283" s="174">
        <f t="shared" si="43"/>
        <v>624.75</v>
      </c>
      <c r="R283" s="174">
        <v>0</v>
      </c>
      <c r="S283" s="202">
        <f>O283/5</f>
        <v>124.95</v>
      </c>
      <c r="T283" s="175"/>
      <c r="U283" s="202">
        <f>PAProjects[[#This Row],[GOU 21/22]]+PAProjects[[#This Row],[DONOR 21/22]]</f>
        <v>124.95</v>
      </c>
      <c r="V283" s="202">
        <f>S283</f>
        <v>124.95</v>
      </c>
      <c r="W283" s="175"/>
      <c r="X283" s="202">
        <f>PAProjects[[#This Row],[GOU 22/23]]+PAProjects[[#This Row],[DONOR 22/23]]</f>
        <v>124.95</v>
      </c>
      <c r="Y283" s="202">
        <f>V283</f>
        <v>124.95</v>
      </c>
      <c r="Z283" s="175"/>
      <c r="AA283" s="202">
        <f>SUM(Y283:Z283)</f>
        <v>124.95</v>
      </c>
      <c r="AB283" s="202">
        <f>Y283</f>
        <v>124.95</v>
      </c>
      <c r="AC283" s="175"/>
      <c r="AD283" s="202">
        <f>PAProjects[[#This Row],[GOU 24/25]]+PAProjects[[#This Row],[DONOR 24/25]]</f>
        <v>124.95</v>
      </c>
    </row>
    <row r="284" spans="1:30" x14ac:dyDescent="0.25">
      <c r="A284" s="180" t="s">
        <v>281</v>
      </c>
      <c r="B284" s="175" t="s">
        <v>1433</v>
      </c>
      <c r="C284" s="175" t="e">
        <f ca="1">PAProjects[[#This Row],[LINKING_CODE]]=_xlfn.CONCAT(PAProjects[[#This Row],[Project Code]]," ",PAProjects[[#This Row],[Project Name]])</f>
        <v>#NAME?</v>
      </c>
      <c r="D284" s="175" t="e">
        <f>VLOOKUP(PAProjects[[#This Row],[LINKING_CODE]],MasterTable[[Project Code and Name ]],1,FALSE)</f>
        <v>#N/A</v>
      </c>
      <c r="E284" s="175" t="s">
        <v>531</v>
      </c>
      <c r="F284" s="175" t="s">
        <v>940</v>
      </c>
      <c r="G284" s="175" t="s">
        <v>103</v>
      </c>
      <c r="H284" s="175" t="str">
        <f>VLOOKUP(I284,'Program Codes'!C:D,2,FALSE)</f>
        <v>13</v>
      </c>
      <c r="I284" s="175" t="s">
        <v>1113</v>
      </c>
      <c r="J284" s="175" t="s">
        <v>855</v>
      </c>
      <c r="K284" s="175" t="s">
        <v>1207</v>
      </c>
      <c r="L284" s="175" t="s">
        <v>1509</v>
      </c>
      <c r="M284" s="188">
        <v>43282</v>
      </c>
      <c r="N284" s="182">
        <v>44742</v>
      </c>
      <c r="O284" s="183">
        <v>107.2</v>
      </c>
      <c r="P284" s="174"/>
      <c r="Q284" s="174">
        <f t="shared" si="43"/>
        <v>107.2</v>
      </c>
      <c r="R284" s="174">
        <v>0</v>
      </c>
      <c r="S284" s="175">
        <v>12.5</v>
      </c>
      <c r="T284" s="175"/>
      <c r="U284" s="191">
        <f>PAProjects[[#This Row],[GOU 21/22]]+PAProjects[[#This Row],[DONOR 21/22]]</f>
        <v>12.5</v>
      </c>
      <c r="V284" s="175"/>
      <c r="W284" s="175"/>
      <c r="X284" s="191">
        <f>PAProjects[[#This Row],[GOU 22/23]]+PAProjects[[#This Row],[DONOR 22/23]]</f>
        <v>0</v>
      </c>
      <c r="Y284" s="175"/>
      <c r="Z284" s="175"/>
      <c r="AA284" s="175"/>
      <c r="AB284" s="175"/>
      <c r="AC284" s="175"/>
      <c r="AD284" s="191">
        <f>PAProjects[[#This Row],[GOU 24/25]]+PAProjects[[#This Row],[DONOR 24/25]]</f>
        <v>0</v>
      </c>
    </row>
    <row r="285" spans="1:30" x14ac:dyDescent="0.25">
      <c r="A285" s="180" t="s">
        <v>282</v>
      </c>
      <c r="B285" s="175" t="s">
        <v>1434</v>
      </c>
      <c r="C285" s="175" t="e">
        <f ca="1">PAProjects[[#This Row],[LINKING_CODE]]=_xlfn.CONCAT(PAProjects[[#This Row],[Project Code]]," ",PAProjects[[#This Row],[Project Name]])</f>
        <v>#NAME?</v>
      </c>
      <c r="D285" s="175" t="e">
        <f>VLOOKUP(PAProjects[[#This Row],[LINKING_CODE]],MasterTable[[Project Code and Name ]],1,FALSE)</f>
        <v>#N/A</v>
      </c>
      <c r="E285" s="175" t="s">
        <v>531</v>
      </c>
      <c r="F285" s="175" t="s">
        <v>940</v>
      </c>
      <c r="G285" s="175" t="s">
        <v>103</v>
      </c>
      <c r="H285" s="175" t="str">
        <f>VLOOKUP(I285,'Program Codes'!C:D,2,FALSE)</f>
        <v>13</v>
      </c>
      <c r="I285" s="175" t="s">
        <v>1113</v>
      </c>
      <c r="J285" s="175" t="s">
        <v>1208</v>
      </c>
      <c r="K285" s="175" t="s">
        <v>863</v>
      </c>
      <c r="L285" s="175" t="str">
        <f t="shared" si="37"/>
        <v>Retooling</v>
      </c>
      <c r="M285" s="188">
        <v>44013</v>
      </c>
      <c r="N285" s="182">
        <v>44742</v>
      </c>
      <c r="O285" s="204">
        <v>25</v>
      </c>
      <c r="P285" s="174"/>
      <c r="Q285" s="174">
        <f t="shared" si="43"/>
        <v>25</v>
      </c>
      <c r="R285" s="174">
        <v>0</v>
      </c>
      <c r="S285" s="202">
        <f t="shared" ref="S285:S291" si="44">O285/5</f>
        <v>5</v>
      </c>
      <c r="T285" s="175"/>
      <c r="U285" s="202">
        <f>PAProjects[[#This Row],[GOU 21/22]]+PAProjects[[#This Row],[DONOR 21/22]]</f>
        <v>5</v>
      </c>
      <c r="V285" s="202">
        <f t="shared" ref="V285:V291" si="45">S285</f>
        <v>5</v>
      </c>
      <c r="W285" s="175"/>
      <c r="X285" s="202">
        <f>PAProjects[[#This Row],[GOU 22/23]]+PAProjects[[#This Row],[DONOR 22/23]]</f>
        <v>5</v>
      </c>
      <c r="Y285" s="202">
        <f t="shared" ref="Y285:Y291" si="46">V285</f>
        <v>5</v>
      </c>
      <c r="Z285" s="175"/>
      <c r="AA285" s="202">
        <f t="shared" ref="AA285:AA291" si="47">SUM(Y285:Z285)</f>
        <v>5</v>
      </c>
      <c r="AB285" s="202">
        <f t="shared" ref="AB285:AB291" si="48">Y285</f>
        <v>5</v>
      </c>
      <c r="AC285" s="175"/>
      <c r="AD285" s="202">
        <f>PAProjects[[#This Row],[GOU 24/25]]+PAProjects[[#This Row],[DONOR 24/25]]</f>
        <v>5</v>
      </c>
    </row>
    <row r="286" spans="1:30" x14ac:dyDescent="0.25">
      <c r="A286" s="180" t="s">
        <v>283</v>
      </c>
      <c r="B286" s="175" t="s">
        <v>1435</v>
      </c>
      <c r="C286" s="175" t="e">
        <f ca="1">PAProjects[[#This Row],[LINKING_CODE]]=_xlfn.CONCAT(PAProjects[[#This Row],[Project Code]]," ",PAProjects[[#This Row],[Project Name]])</f>
        <v>#NAME?</v>
      </c>
      <c r="D286" s="175" t="e">
        <f>VLOOKUP(PAProjects[[#This Row],[LINKING_CODE]],MasterTable[[Project Code and Name ]],1,FALSE)</f>
        <v>#N/A</v>
      </c>
      <c r="E286" s="175" t="s">
        <v>531</v>
      </c>
      <c r="F286" s="175" t="s">
        <v>940</v>
      </c>
      <c r="G286" s="175" t="s">
        <v>129</v>
      </c>
      <c r="H286" s="175" t="str">
        <f>VLOOKUP(I286,'Program Codes'!C:D,2,FALSE)</f>
        <v>13</v>
      </c>
      <c r="I286" s="175" t="s">
        <v>1113</v>
      </c>
      <c r="J286" s="175" t="s">
        <v>1209</v>
      </c>
      <c r="K286" s="175" t="s">
        <v>859</v>
      </c>
      <c r="L286" s="175" t="str">
        <f t="shared" si="37"/>
        <v>Retooling</v>
      </c>
      <c r="M286" s="188">
        <v>44013</v>
      </c>
      <c r="N286" s="182">
        <v>44742</v>
      </c>
      <c r="O286" s="204">
        <v>18.812999999999999</v>
      </c>
      <c r="P286" s="174"/>
      <c r="Q286" s="174">
        <f t="shared" si="43"/>
        <v>18.812999999999999</v>
      </c>
      <c r="R286" s="174">
        <v>0</v>
      </c>
      <c r="S286" s="202">
        <f t="shared" si="44"/>
        <v>3.7625999999999999</v>
      </c>
      <c r="T286" s="175"/>
      <c r="U286" s="202">
        <f>PAProjects[[#This Row],[GOU 21/22]]+PAProjects[[#This Row],[DONOR 21/22]]</f>
        <v>3.7625999999999999</v>
      </c>
      <c r="V286" s="202">
        <f t="shared" si="45"/>
        <v>3.7625999999999999</v>
      </c>
      <c r="W286" s="175"/>
      <c r="X286" s="202">
        <f>PAProjects[[#This Row],[GOU 22/23]]+PAProjects[[#This Row],[DONOR 22/23]]</f>
        <v>3.7625999999999999</v>
      </c>
      <c r="Y286" s="202">
        <f t="shared" si="46"/>
        <v>3.7625999999999999</v>
      </c>
      <c r="Z286" s="175"/>
      <c r="AA286" s="202">
        <f t="shared" si="47"/>
        <v>3.7625999999999999</v>
      </c>
      <c r="AB286" s="202">
        <f t="shared" si="48"/>
        <v>3.7625999999999999</v>
      </c>
      <c r="AC286" s="175"/>
      <c r="AD286" s="202">
        <f>PAProjects[[#This Row],[GOU 24/25]]+PAProjects[[#This Row],[DONOR 24/25]]</f>
        <v>3.7625999999999999</v>
      </c>
    </row>
    <row r="287" spans="1:30" x14ac:dyDescent="0.25">
      <c r="A287" s="180" t="s">
        <v>284</v>
      </c>
      <c r="B287" s="175" t="s">
        <v>1436</v>
      </c>
      <c r="C287" s="175" t="e">
        <f ca="1">PAProjects[[#This Row],[LINKING_CODE]]=_xlfn.CONCAT(PAProjects[[#This Row],[Project Code]]," ",PAProjects[[#This Row],[Project Name]])</f>
        <v>#NAME?</v>
      </c>
      <c r="D287" s="175" t="e">
        <f>VLOOKUP(PAProjects[[#This Row],[LINKING_CODE]],MasterTable[[Project Code and Name ]],1,FALSE)</f>
        <v>#N/A</v>
      </c>
      <c r="E287" s="175" t="s">
        <v>531</v>
      </c>
      <c r="F287" s="175" t="s">
        <v>940</v>
      </c>
      <c r="G287" s="175" t="s">
        <v>131</v>
      </c>
      <c r="H287" s="175" t="str">
        <f>VLOOKUP(I287,'Program Codes'!C:D,2,FALSE)</f>
        <v>13</v>
      </c>
      <c r="I287" s="175" t="s">
        <v>1113</v>
      </c>
      <c r="J287" s="175" t="s">
        <v>1210</v>
      </c>
      <c r="K287" s="175" t="s">
        <v>1211</v>
      </c>
      <c r="L287" s="175" t="str">
        <f t="shared" si="37"/>
        <v>Retooling</v>
      </c>
      <c r="M287" s="188">
        <v>44013</v>
      </c>
      <c r="N287" s="182">
        <v>44742</v>
      </c>
      <c r="O287" s="204">
        <v>30.58</v>
      </c>
      <c r="P287" s="174"/>
      <c r="Q287" s="174">
        <f t="shared" si="43"/>
        <v>30.58</v>
      </c>
      <c r="R287" s="174">
        <v>0</v>
      </c>
      <c r="S287" s="202">
        <f t="shared" si="44"/>
        <v>6.1159999999999997</v>
      </c>
      <c r="T287" s="175"/>
      <c r="U287" s="202">
        <f>PAProjects[[#This Row],[GOU 21/22]]+PAProjects[[#This Row],[DONOR 21/22]]</f>
        <v>6.1159999999999997</v>
      </c>
      <c r="V287" s="202">
        <f t="shared" si="45"/>
        <v>6.1159999999999997</v>
      </c>
      <c r="W287" s="175"/>
      <c r="X287" s="202">
        <f>PAProjects[[#This Row],[GOU 22/23]]+PAProjects[[#This Row],[DONOR 22/23]]</f>
        <v>6.1159999999999997</v>
      </c>
      <c r="Y287" s="202">
        <f t="shared" si="46"/>
        <v>6.1159999999999997</v>
      </c>
      <c r="Z287" s="175"/>
      <c r="AA287" s="202">
        <f t="shared" si="47"/>
        <v>6.1159999999999997</v>
      </c>
      <c r="AB287" s="202">
        <f t="shared" si="48"/>
        <v>6.1159999999999997</v>
      </c>
      <c r="AC287" s="175"/>
      <c r="AD287" s="202">
        <f>PAProjects[[#This Row],[GOU 24/25]]+PAProjects[[#This Row],[DONOR 24/25]]</f>
        <v>6.1159999999999997</v>
      </c>
    </row>
    <row r="288" spans="1:30" x14ac:dyDescent="0.25">
      <c r="A288" s="180" t="s">
        <v>285</v>
      </c>
      <c r="B288" s="175" t="s">
        <v>1437</v>
      </c>
      <c r="C288" s="175" t="e">
        <f ca="1">PAProjects[[#This Row],[LINKING_CODE]]=_xlfn.CONCAT(PAProjects[[#This Row],[Project Code]]," ",PAProjects[[#This Row],[Project Name]])</f>
        <v>#NAME?</v>
      </c>
      <c r="D288" s="175" t="e">
        <f>VLOOKUP(PAProjects[[#This Row],[LINKING_CODE]],MasterTable[[Project Code and Name ]],1,FALSE)</f>
        <v>#N/A</v>
      </c>
      <c r="E288" s="175" t="s">
        <v>531</v>
      </c>
      <c r="F288" s="175" t="s">
        <v>940</v>
      </c>
      <c r="G288" s="175" t="s">
        <v>141</v>
      </c>
      <c r="H288" s="175" t="str">
        <f>VLOOKUP(I288,'Program Codes'!C:D,2,FALSE)</f>
        <v>13</v>
      </c>
      <c r="I288" s="175" t="s">
        <v>1113</v>
      </c>
      <c r="J288" s="175" t="s">
        <v>1212</v>
      </c>
      <c r="K288" s="175" t="s">
        <v>858</v>
      </c>
      <c r="L288" s="175" t="str">
        <f t="shared" si="37"/>
        <v>Retooling</v>
      </c>
      <c r="M288" s="188">
        <v>44013</v>
      </c>
      <c r="N288" s="182">
        <v>44742</v>
      </c>
      <c r="O288" s="183">
        <v>218.18299999999999</v>
      </c>
      <c r="P288" s="174"/>
      <c r="Q288" s="174">
        <f t="shared" si="43"/>
        <v>218.18299999999999</v>
      </c>
      <c r="R288" s="174">
        <v>0</v>
      </c>
      <c r="S288" s="202">
        <f t="shared" si="44"/>
        <v>43.636600000000001</v>
      </c>
      <c r="T288" s="175"/>
      <c r="U288" s="202">
        <f>PAProjects[[#This Row],[GOU 21/22]]+PAProjects[[#This Row],[DONOR 21/22]]</f>
        <v>43.636600000000001</v>
      </c>
      <c r="V288" s="202">
        <f t="shared" si="45"/>
        <v>43.636600000000001</v>
      </c>
      <c r="W288" s="175"/>
      <c r="X288" s="202">
        <f>PAProjects[[#This Row],[GOU 22/23]]+PAProjects[[#This Row],[DONOR 22/23]]</f>
        <v>43.636600000000001</v>
      </c>
      <c r="Y288" s="202">
        <f t="shared" si="46"/>
        <v>43.636600000000001</v>
      </c>
      <c r="Z288" s="175"/>
      <c r="AA288" s="202">
        <f t="shared" si="47"/>
        <v>43.636600000000001</v>
      </c>
      <c r="AB288" s="202">
        <f t="shared" si="48"/>
        <v>43.636600000000001</v>
      </c>
      <c r="AC288" s="175"/>
      <c r="AD288" s="202">
        <f>PAProjects[[#This Row],[GOU 24/25]]+PAProjects[[#This Row],[DONOR 24/25]]</f>
        <v>43.636600000000001</v>
      </c>
    </row>
    <row r="289" spans="1:30" x14ac:dyDescent="0.25">
      <c r="A289" s="180" t="s">
        <v>286</v>
      </c>
      <c r="B289" s="175" t="s">
        <v>1438</v>
      </c>
      <c r="C289" s="175" t="e">
        <f ca="1">PAProjects[[#This Row],[LINKING_CODE]]=_xlfn.CONCAT(PAProjects[[#This Row],[Project Code]]," ",PAProjects[[#This Row],[Project Name]])</f>
        <v>#NAME?</v>
      </c>
      <c r="D289" s="175" t="e">
        <f>VLOOKUP(PAProjects[[#This Row],[LINKING_CODE]],MasterTable[[Project Code and Name ]],1,FALSE)</f>
        <v>#N/A</v>
      </c>
      <c r="E289" s="175" t="s">
        <v>531</v>
      </c>
      <c r="F289" s="175" t="s">
        <v>940</v>
      </c>
      <c r="G289" s="175" t="s">
        <v>143</v>
      </c>
      <c r="H289" s="175" t="str">
        <f>VLOOKUP(I289,'Program Codes'!C:D,2,FALSE)</f>
        <v>13</v>
      </c>
      <c r="I289" s="175" t="s">
        <v>1113</v>
      </c>
      <c r="J289" s="175" t="s">
        <v>1213</v>
      </c>
      <c r="K289" s="175" t="s">
        <v>862</v>
      </c>
      <c r="L289" s="175" t="str">
        <f t="shared" si="37"/>
        <v>Retooling</v>
      </c>
      <c r="M289" s="188">
        <v>44013</v>
      </c>
      <c r="N289" s="182">
        <v>44742</v>
      </c>
      <c r="O289" s="204">
        <v>115.861</v>
      </c>
      <c r="P289" s="174"/>
      <c r="Q289" s="174">
        <f t="shared" si="43"/>
        <v>115.861</v>
      </c>
      <c r="R289" s="174">
        <v>0</v>
      </c>
      <c r="S289" s="202">
        <f t="shared" si="44"/>
        <v>23.1722</v>
      </c>
      <c r="T289" s="175"/>
      <c r="U289" s="202">
        <f>PAProjects[[#This Row],[GOU 21/22]]+PAProjects[[#This Row],[DONOR 21/22]]</f>
        <v>23.1722</v>
      </c>
      <c r="V289" s="202">
        <f t="shared" si="45"/>
        <v>23.1722</v>
      </c>
      <c r="W289" s="175"/>
      <c r="X289" s="202">
        <f>PAProjects[[#This Row],[GOU 22/23]]+PAProjects[[#This Row],[DONOR 22/23]]</f>
        <v>23.1722</v>
      </c>
      <c r="Y289" s="202">
        <f t="shared" si="46"/>
        <v>23.1722</v>
      </c>
      <c r="Z289" s="175"/>
      <c r="AA289" s="202">
        <f t="shared" si="47"/>
        <v>23.1722</v>
      </c>
      <c r="AB289" s="202">
        <f t="shared" si="48"/>
        <v>23.1722</v>
      </c>
      <c r="AC289" s="175"/>
      <c r="AD289" s="202">
        <f>PAProjects[[#This Row],[GOU 24/25]]+PAProjects[[#This Row],[DONOR 24/25]]</f>
        <v>23.1722</v>
      </c>
    </row>
    <row r="290" spans="1:30" x14ac:dyDescent="0.25">
      <c r="A290" s="180" t="s">
        <v>287</v>
      </c>
      <c r="B290" s="175" t="s">
        <v>1439</v>
      </c>
      <c r="C290" s="175" t="e">
        <f ca="1">PAProjects[[#This Row],[LINKING_CODE]]=_xlfn.CONCAT(PAProjects[[#This Row],[Project Code]]," ",PAProjects[[#This Row],[Project Name]])</f>
        <v>#NAME?</v>
      </c>
      <c r="D290" s="175" t="e">
        <f>VLOOKUP(PAProjects[[#This Row],[LINKING_CODE]],MasterTable[[Project Code and Name ]],1,FALSE)</f>
        <v>#N/A</v>
      </c>
      <c r="E290" s="175" t="s">
        <v>531</v>
      </c>
      <c r="F290" s="175" t="s">
        <v>940</v>
      </c>
      <c r="G290" s="175" t="s">
        <v>153</v>
      </c>
      <c r="H290" s="175" t="str">
        <f>VLOOKUP(I290,'Program Codes'!C:D,2,FALSE)</f>
        <v>13</v>
      </c>
      <c r="I290" s="175" t="s">
        <v>1113</v>
      </c>
      <c r="J290" s="175" t="s">
        <v>1214</v>
      </c>
      <c r="K290" s="175" t="s">
        <v>857</v>
      </c>
      <c r="L290" s="175" t="str">
        <f t="shared" si="37"/>
        <v>Retooling</v>
      </c>
      <c r="M290" s="188">
        <v>44013</v>
      </c>
      <c r="N290" s="182">
        <v>44742</v>
      </c>
      <c r="O290" s="183">
        <v>47.2</v>
      </c>
      <c r="P290" s="174"/>
      <c r="Q290" s="174">
        <f t="shared" si="43"/>
        <v>47.2</v>
      </c>
      <c r="R290" s="174">
        <v>0</v>
      </c>
      <c r="S290" s="202">
        <f t="shared" si="44"/>
        <v>9.4400000000000013</v>
      </c>
      <c r="T290" s="175"/>
      <c r="U290" s="202">
        <f>PAProjects[[#This Row],[GOU 21/22]]+PAProjects[[#This Row],[DONOR 21/22]]</f>
        <v>9.4400000000000013</v>
      </c>
      <c r="V290" s="202">
        <f t="shared" si="45"/>
        <v>9.4400000000000013</v>
      </c>
      <c r="W290" s="175"/>
      <c r="X290" s="202">
        <f>PAProjects[[#This Row],[GOU 22/23]]+PAProjects[[#This Row],[DONOR 22/23]]</f>
        <v>9.4400000000000013</v>
      </c>
      <c r="Y290" s="202">
        <f t="shared" si="46"/>
        <v>9.4400000000000013</v>
      </c>
      <c r="Z290" s="175"/>
      <c r="AA290" s="202">
        <f t="shared" si="47"/>
        <v>9.4400000000000013</v>
      </c>
      <c r="AB290" s="202">
        <f t="shared" si="48"/>
        <v>9.4400000000000013</v>
      </c>
      <c r="AC290" s="175"/>
      <c r="AD290" s="202">
        <f>PAProjects[[#This Row],[GOU 24/25]]+PAProjects[[#This Row],[DONOR 24/25]]</f>
        <v>9.4400000000000013</v>
      </c>
    </row>
    <row r="291" spans="1:30" x14ac:dyDescent="0.25">
      <c r="A291" s="180" t="s">
        <v>288</v>
      </c>
      <c r="B291" s="175" t="s">
        <v>1440</v>
      </c>
      <c r="C291" s="175" t="e">
        <f ca="1">PAProjects[[#This Row],[LINKING_CODE]]=_xlfn.CONCAT(PAProjects[[#This Row],[Project Code]]," ",PAProjects[[#This Row],[Project Name]])</f>
        <v>#NAME?</v>
      </c>
      <c r="D291" s="175" t="e">
        <f>VLOOKUP(PAProjects[[#This Row],[LINKING_CODE]],MasterTable[[Project Code and Name ]],1,FALSE)</f>
        <v>#N/A</v>
      </c>
      <c r="E291" s="175" t="s">
        <v>531</v>
      </c>
      <c r="F291" s="175" t="s">
        <v>940</v>
      </c>
      <c r="G291" s="175" t="s">
        <v>310</v>
      </c>
      <c r="H291" s="175" t="str">
        <f>VLOOKUP(I291,'Program Codes'!C:D,2,FALSE)</f>
        <v>13</v>
      </c>
      <c r="I291" s="175" t="s">
        <v>1113</v>
      </c>
      <c r="J291" s="175" t="s">
        <v>1215</v>
      </c>
      <c r="K291" s="175" t="s">
        <v>860</v>
      </c>
      <c r="L291" s="175" t="str">
        <f t="shared" si="37"/>
        <v>Retooling</v>
      </c>
      <c r="M291" s="188">
        <v>44013</v>
      </c>
      <c r="N291" s="182">
        <v>45838</v>
      </c>
      <c r="O291" s="204">
        <v>10.17</v>
      </c>
      <c r="P291" s="174"/>
      <c r="Q291" s="174">
        <f t="shared" si="43"/>
        <v>10.17</v>
      </c>
      <c r="R291" s="174">
        <v>0</v>
      </c>
      <c r="S291" s="202">
        <f t="shared" si="44"/>
        <v>2.0339999999999998</v>
      </c>
      <c r="T291" s="175"/>
      <c r="U291" s="202">
        <f>PAProjects[[#This Row],[GOU 21/22]]+PAProjects[[#This Row],[DONOR 21/22]]</f>
        <v>2.0339999999999998</v>
      </c>
      <c r="V291" s="202">
        <f t="shared" si="45"/>
        <v>2.0339999999999998</v>
      </c>
      <c r="W291" s="175"/>
      <c r="X291" s="202">
        <f>PAProjects[[#This Row],[GOU 22/23]]+PAProjects[[#This Row],[DONOR 22/23]]</f>
        <v>2.0339999999999998</v>
      </c>
      <c r="Y291" s="202">
        <f t="shared" si="46"/>
        <v>2.0339999999999998</v>
      </c>
      <c r="Z291" s="175"/>
      <c r="AA291" s="202">
        <f t="shared" si="47"/>
        <v>2.0339999999999998</v>
      </c>
      <c r="AB291" s="202">
        <f t="shared" si="48"/>
        <v>2.0339999999999998</v>
      </c>
      <c r="AC291" s="175"/>
      <c r="AD291" s="202">
        <f>PAProjects[[#This Row],[GOU 24/25]]+PAProjects[[#This Row],[DONOR 24/25]]</f>
        <v>2.0339999999999998</v>
      </c>
    </row>
    <row r="292" spans="1:30" ht="15" customHeight="1" x14ac:dyDescent="0.25">
      <c r="A292" s="180" t="s">
        <v>289</v>
      </c>
      <c r="B292" s="175" t="s">
        <v>1441</v>
      </c>
      <c r="C292" s="175" t="e">
        <f ca="1">PAProjects[[#This Row],[LINKING_CODE]]=_xlfn.CONCAT(PAProjects[[#This Row],[Project Code]]," ",PAProjects[[#This Row],[Project Name]])</f>
        <v>#NAME?</v>
      </c>
      <c r="D292" s="175" t="e">
        <f>VLOOKUP(PAProjects[[#This Row],[LINKING_CODE]],MasterTable[[Project Code and Name ]],1,FALSE)</f>
        <v>#N/A</v>
      </c>
      <c r="E292" s="175" t="s">
        <v>533</v>
      </c>
      <c r="F292" s="175" t="s">
        <v>1216</v>
      </c>
      <c r="G292" s="175" t="s">
        <v>104</v>
      </c>
      <c r="H292" s="175" t="str">
        <f>VLOOKUP(I292,'Program Codes'!C:D,2,FALSE)</f>
        <v>13</v>
      </c>
      <c r="I292" s="175" t="s">
        <v>1113</v>
      </c>
      <c r="J292" s="175" t="s">
        <v>864</v>
      </c>
      <c r="K292" s="175" t="s">
        <v>865</v>
      </c>
      <c r="L292" s="175" t="s">
        <v>1509</v>
      </c>
      <c r="M292" s="188">
        <v>40725</v>
      </c>
      <c r="N292" s="182">
        <v>44742</v>
      </c>
      <c r="O292" s="183">
        <v>301.96499999999997</v>
      </c>
      <c r="P292" s="174"/>
      <c r="Q292" s="174">
        <f t="shared" si="43"/>
        <v>301.96499999999997</v>
      </c>
      <c r="R292" s="174">
        <v>0</v>
      </c>
      <c r="S292" s="175">
        <v>65.69</v>
      </c>
      <c r="T292" s="175"/>
      <c r="U292" s="202">
        <f>PAProjects[[#This Row],[GOU 21/22]]+PAProjects[[#This Row],[DONOR 21/22]]</f>
        <v>65.69</v>
      </c>
      <c r="V292" s="175"/>
      <c r="W292" s="175"/>
      <c r="X292" s="191">
        <f>PAProjects[[#This Row],[GOU 22/23]]+PAProjects[[#This Row],[DONOR 22/23]]</f>
        <v>0</v>
      </c>
      <c r="Y292" s="175"/>
      <c r="Z292" s="175"/>
      <c r="AA292" s="175"/>
      <c r="AB292" s="175"/>
      <c r="AC292" s="175"/>
      <c r="AD292" s="191">
        <f>PAProjects[[#This Row],[GOU 24/25]]+PAProjects[[#This Row],[DONOR 24/25]]</f>
        <v>0</v>
      </c>
    </row>
    <row r="293" spans="1:30" ht="15" customHeight="1" x14ac:dyDescent="0.25">
      <c r="A293" s="180" t="s">
        <v>290</v>
      </c>
      <c r="B293" s="175" t="s">
        <v>1442</v>
      </c>
      <c r="C293" s="175" t="e">
        <f ca="1">PAProjects[[#This Row],[LINKING_CODE]]=_xlfn.CONCAT(PAProjects[[#This Row],[Project Code]]," ",PAProjects[[#This Row],[Project Name]])</f>
        <v>#NAME?</v>
      </c>
      <c r="D293" s="175" t="str">
        <f>VLOOKUP(PAProjects[[#This Row],[LINKING_CODE]],MasterTable[[Project Code and Name ]],1,FALSE)</f>
        <v>1589 Retooling of Office of the President</v>
      </c>
      <c r="E293" s="175" t="s">
        <v>534</v>
      </c>
      <c r="F293" s="175" t="s">
        <v>1218</v>
      </c>
      <c r="G293" s="175" t="s">
        <v>1179</v>
      </c>
      <c r="H293" s="175" t="str">
        <f>VLOOKUP(I293,'Program Codes'!C:D,2,FALSE)</f>
        <v>13</v>
      </c>
      <c r="I293" s="175" t="s">
        <v>1113</v>
      </c>
      <c r="J293" s="175" t="s">
        <v>1219</v>
      </c>
      <c r="K293" s="175" t="s">
        <v>866</v>
      </c>
      <c r="L293" s="175" t="str">
        <f t="shared" si="37"/>
        <v>Retooling</v>
      </c>
      <c r="M293" s="188">
        <v>44013</v>
      </c>
      <c r="N293" s="182">
        <v>45838</v>
      </c>
      <c r="O293" s="204">
        <v>55.389000000000003</v>
      </c>
      <c r="P293" s="174"/>
      <c r="Q293" s="174">
        <f t="shared" si="43"/>
        <v>55.389000000000003</v>
      </c>
      <c r="R293" s="174">
        <v>0</v>
      </c>
      <c r="S293" s="202">
        <f>SUMIFS(MasterTable[Arrears + All Contractual Commitments (value next FY)],MasterTable[[Project Code and Name ]],PAProjects[[#This Row],[LINKING_CODE]],MasterTable[Funding Source],"GoU Funded")/10^9</f>
        <v>15</v>
      </c>
      <c r="T293" s="175"/>
      <c r="U293" s="202">
        <f>PAProjects[[#This Row],[GOU 21/22]]+PAProjects[[#This Row],[DONOR 21/22]]</f>
        <v>15</v>
      </c>
      <c r="V293" s="202">
        <f>SUMIFS(MasterTable[FY1 (FY22-23)],MasterTable[[Project Code and Name ]],PAProjects[[#This Row],[LINKING_CODE]],MasterTable[Funding Source],"GoU Funded")/10^9</f>
        <v>15</v>
      </c>
      <c r="W293" s="175"/>
      <c r="X293" s="202">
        <f>PAProjects[[#This Row],[GOU 22/23]]+PAProjects[[#This Row],[DONOR 22/23]]</f>
        <v>15</v>
      </c>
      <c r="Y293" s="202">
        <f>SUMIFS(MasterTable[FY2 (FY23-24)],MasterTable[[Project Code and Name ]],PAProjects[[#This Row],[LINKING_CODE]],MasterTable[Funding Source],"GoU Funded")/10^9</f>
        <v>15</v>
      </c>
      <c r="Z293" s="175"/>
      <c r="AA293" s="202">
        <f t="shared" ref="AA293:AA298" si="49">SUM(Y293:Z293)</f>
        <v>15</v>
      </c>
      <c r="AB293" s="202">
        <f>SUMIFS(MasterTable[FY3 (FY24-25)],MasterTable[[Project Code and Name ]],PAProjects[[#This Row],[LINKING_CODE]],MasterTable[Funding Source],"GoU Funded")/10^9</f>
        <v>15</v>
      </c>
      <c r="AC293" s="175"/>
      <c r="AD293" s="202">
        <f>PAProjects[[#This Row],[GOU 24/25]]+PAProjects[[#This Row],[DONOR 24/25]]</f>
        <v>15</v>
      </c>
    </row>
    <row r="294" spans="1:30" ht="15" customHeight="1" x14ac:dyDescent="0.25">
      <c r="A294" s="180" t="s">
        <v>291</v>
      </c>
      <c r="B294" s="175" t="s">
        <v>1443</v>
      </c>
      <c r="C294" s="175" t="e">
        <f ca="1">PAProjects[[#This Row],[LINKING_CODE]]=_xlfn.CONCAT(PAProjects[[#This Row],[Project Code]]," ",PAProjects[[#This Row],[Project Name]])</f>
        <v>#NAME?</v>
      </c>
      <c r="D294" s="175" t="e">
        <f>VLOOKUP(PAProjects[[#This Row],[LINKING_CODE]],MasterTable[[Project Code and Name ]],1,FALSE)</f>
        <v>#N/A</v>
      </c>
      <c r="E294" s="175" t="s">
        <v>534</v>
      </c>
      <c r="F294" s="175" t="s">
        <v>1218</v>
      </c>
      <c r="G294" s="175" t="s">
        <v>1220</v>
      </c>
      <c r="H294" s="175" t="str">
        <f>VLOOKUP(I294,'Program Codes'!C:D,2,FALSE)</f>
        <v>13</v>
      </c>
      <c r="I294" s="175" t="s">
        <v>1113</v>
      </c>
      <c r="J294" s="175" t="s">
        <v>1221</v>
      </c>
      <c r="K294" s="175" t="s">
        <v>867</v>
      </c>
      <c r="L294" s="175" t="str">
        <f t="shared" si="37"/>
        <v>Retooling</v>
      </c>
      <c r="M294" s="188">
        <v>44013</v>
      </c>
      <c r="N294" s="182">
        <v>45838</v>
      </c>
      <c r="O294" s="204">
        <v>435.25</v>
      </c>
      <c r="P294" s="174"/>
      <c r="Q294" s="174">
        <f t="shared" si="43"/>
        <v>435.25</v>
      </c>
      <c r="R294" s="174">
        <v>0</v>
      </c>
      <c r="S294" s="202">
        <f t="shared" ref="S294:S298" si="50">O294/5</f>
        <v>87.05</v>
      </c>
      <c r="T294" s="175"/>
      <c r="U294" s="202">
        <f>PAProjects[[#This Row],[GOU 21/22]]+PAProjects[[#This Row],[DONOR 21/22]]</f>
        <v>87.05</v>
      </c>
      <c r="V294" s="202">
        <f t="shared" ref="V294:V298" si="51">S294</f>
        <v>87.05</v>
      </c>
      <c r="W294" s="175"/>
      <c r="X294" s="202">
        <f>PAProjects[[#This Row],[GOU 22/23]]+PAProjects[[#This Row],[DONOR 22/23]]</f>
        <v>87.05</v>
      </c>
      <c r="Y294" s="202">
        <f t="shared" ref="Y294:Y298" si="52">V294</f>
        <v>87.05</v>
      </c>
      <c r="Z294" s="175"/>
      <c r="AA294" s="202">
        <f t="shared" si="49"/>
        <v>87.05</v>
      </c>
      <c r="AB294" s="202">
        <f t="shared" ref="AB294:AB298" si="53">Y294</f>
        <v>87.05</v>
      </c>
      <c r="AC294" s="175"/>
      <c r="AD294" s="202">
        <f>PAProjects[[#This Row],[GOU 24/25]]+PAProjects[[#This Row],[DONOR 24/25]]</f>
        <v>87.05</v>
      </c>
    </row>
    <row r="295" spans="1:30" ht="15" customHeight="1" x14ac:dyDescent="0.25">
      <c r="A295" s="180" t="s">
        <v>292</v>
      </c>
      <c r="B295" s="175" t="s">
        <v>1444</v>
      </c>
      <c r="C295" s="175" t="e">
        <f ca="1">PAProjects[[#This Row],[LINKING_CODE]]=_xlfn.CONCAT(PAProjects[[#This Row],[Project Code]]," ",PAProjects[[#This Row],[Project Name]])</f>
        <v>#NAME?</v>
      </c>
      <c r="D295" s="175" t="e">
        <f>VLOOKUP(PAProjects[[#This Row],[LINKING_CODE]],MasterTable[[Project Code and Name ]],1,FALSE)</f>
        <v>#N/A</v>
      </c>
      <c r="E295" s="175" t="s">
        <v>534</v>
      </c>
      <c r="F295" s="175" t="s">
        <v>1218</v>
      </c>
      <c r="G295" s="175" t="s">
        <v>1222</v>
      </c>
      <c r="H295" s="175" t="str">
        <f>VLOOKUP(I295,'Program Codes'!C:D,2,FALSE)</f>
        <v>13</v>
      </c>
      <c r="I295" s="175" t="s">
        <v>1113</v>
      </c>
      <c r="J295" s="175" t="s">
        <v>1223</v>
      </c>
      <c r="K295" s="175" t="s">
        <v>868</v>
      </c>
      <c r="L295" s="175" t="str">
        <f t="shared" si="37"/>
        <v>Retooling</v>
      </c>
      <c r="M295" s="188">
        <v>44013</v>
      </c>
      <c r="N295" s="182">
        <v>45838</v>
      </c>
      <c r="O295" s="204">
        <v>7.72</v>
      </c>
      <c r="P295" s="174"/>
      <c r="Q295" s="174">
        <f t="shared" si="43"/>
        <v>7.72</v>
      </c>
      <c r="R295" s="174">
        <v>0</v>
      </c>
      <c r="S295" s="202">
        <f t="shared" si="50"/>
        <v>1.544</v>
      </c>
      <c r="T295" s="175"/>
      <c r="U295" s="202">
        <f>PAProjects[[#This Row],[GOU 21/22]]+PAProjects[[#This Row],[DONOR 21/22]]</f>
        <v>1.544</v>
      </c>
      <c r="V295" s="202">
        <f t="shared" si="51"/>
        <v>1.544</v>
      </c>
      <c r="W295" s="175"/>
      <c r="X295" s="202">
        <f>PAProjects[[#This Row],[GOU 22/23]]+PAProjects[[#This Row],[DONOR 22/23]]</f>
        <v>1.544</v>
      </c>
      <c r="Y295" s="202">
        <f t="shared" si="52"/>
        <v>1.544</v>
      </c>
      <c r="Z295" s="175"/>
      <c r="AA295" s="202">
        <f t="shared" si="49"/>
        <v>1.544</v>
      </c>
      <c r="AB295" s="202">
        <f t="shared" si="53"/>
        <v>1.544</v>
      </c>
      <c r="AC295" s="175"/>
      <c r="AD295" s="202">
        <f>PAProjects[[#This Row],[GOU 24/25]]+PAProjects[[#This Row],[DONOR 24/25]]</f>
        <v>1.544</v>
      </c>
    </row>
    <row r="296" spans="1:30" ht="15" customHeight="1" x14ac:dyDescent="0.25">
      <c r="A296" s="180" t="s">
        <v>293</v>
      </c>
      <c r="B296" s="175" t="s">
        <v>1445</v>
      </c>
      <c r="C296" s="175" t="e">
        <f ca="1">PAProjects[[#This Row],[LINKING_CODE]]=_xlfn.CONCAT(PAProjects[[#This Row],[Project Code]]," ",PAProjects[[#This Row],[Project Name]])</f>
        <v>#NAME?</v>
      </c>
      <c r="D296" s="175" t="e">
        <f>VLOOKUP(PAProjects[[#This Row],[LINKING_CODE]],MasterTable[[Project Code and Name ]],1,FALSE)</f>
        <v>#N/A</v>
      </c>
      <c r="E296" s="175" t="s">
        <v>534</v>
      </c>
      <c r="F296" s="175" t="s">
        <v>1218</v>
      </c>
      <c r="G296" s="175" t="s">
        <v>102</v>
      </c>
      <c r="H296" s="175" t="str">
        <f>VLOOKUP(I296,'Program Codes'!C:D,2,FALSE)</f>
        <v>13</v>
      </c>
      <c r="I296" s="175" t="s">
        <v>1113</v>
      </c>
      <c r="J296" s="175" t="s">
        <v>1224</v>
      </c>
      <c r="K296" s="175" t="s">
        <v>1225</v>
      </c>
      <c r="L296" s="175" t="str">
        <f t="shared" si="37"/>
        <v>Retooling</v>
      </c>
      <c r="M296" s="188">
        <v>44013</v>
      </c>
      <c r="N296" s="182">
        <v>45838</v>
      </c>
      <c r="O296" s="204">
        <v>50</v>
      </c>
      <c r="P296" s="174"/>
      <c r="Q296" s="174">
        <f t="shared" si="43"/>
        <v>50</v>
      </c>
      <c r="R296" s="174">
        <v>0</v>
      </c>
      <c r="S296" s="202">
        <f t="shared" si="50"/>
        <v>10</v>
      </c>
      <c r="T296" s="175"/>
      <c r="U296" s="202">
        <f>PAProjects[[#This Row],[GOU 21/22]]+PAProjects[[#This Row],[DONOR 21/22]]</f>
        <v>10</v>
      </c>
      <c r="V296" s="202">
        <f t="shared" si="51"/>
        <v>10</v>
      </c>
      <c r="W296" s="175"/>
      <c r="X296" s="202">
        <f>PAProjects[[#This Row],[GOU 22/23]]+PAProjects[[#This Row],[DONOR 22/23]]</f>
        <v>10</v>
      </c>
      <c r="Y296" s="202">
        <f t="shared" si="52"/>
        <v>10</v>
      </c>
      <c r="Z296" s="175"/>
      <c r="AA296" s="202">
        <f t="shared" si="49"/>
        <v>10</v>
      </c>
      <c r="AB296" s="202">
        <f t="shared" si="53"/>
        <v>10</v>
      </c>
      <c r="AC296" s="175"/>
      <c r="AD296" s="202">
        <f>PAProjects[[#This Row],[GOU 24/25]]+PAProjects[[#This Row],[DONOR 24/25]]</f>
        <v>10</v>
      </c>
    </row>
    <row r="297" spans="1:30" ht="15" customHeight="1" x14ac:dyDescent="0.25">
      <c r="A297" s="180" t="s">
        <v>294</v>
      </c>
      <c r="B297" s="175" t="s">
        <v>1446</v>
      </c>
      <c r="C297" s="175" t="e">
        <f ca="1">PAProjects[[#This Row],[LINKING_CODE]]=_xlfn.CONCAT(PAProjects[[#This Row],[Project Code]]," ",PAProjects[[#This Row],[Project Name]])</f>
        <v>#NAME?</v>
      </c>
      <c r="D297" s="175" t="e">
        <f>VLOOKUP(PAProjects[[#This Row],[LINKING_CODE]],MasterTable[[Project Code and Name ]],1,FALSE)</f>
        <v>#N/A</v>
      </c>
      <c r="E297" s="175" t="s">
        <v>537</v>
      </c>
      <c r="F297" s="175" t="s">
        <v>997</v>
      </c>
      <c r="G297" s="175" t="s">
        <v>110</v>
      </c>
      <c r="H297" s="175" t="str">
        <f>VLOOKUP(I297,'Program Codes'!C:D,2,FALSE)</f>
        <v>13</v>
      </c>
      <c r="I297" s="175" t="s">
        <v>1113</v>
      </c>
      <c r="J297" s="175" t="s">
        <v>1228</v>
      </c>
      <c r="K297" s="175" t="s">
        <v>871</v>
      </c>
      <c r="L297" s="175" t="str">
        <f t="shared" si="37"/>
        <v>Retooling</v>
      </c>
      <c r="M297" s="188">
        <v>44013</v>
      </c>
      <c r="N297" s="182">
        <v>45838</v>
      </c>
      <c r="O297" s="204">
        <v>20.54</v>
      </c>
      <c r="P297" s="205">
        <v>0</v>
      </c>
      <c r="Q297" s="174">
        <f t="shared" si="43"/>
        <v>20.54</v>
      </c>
      <c r="R297" s="174">
        <v>0</v>
      </c>
      <c r="S297" s="202">
        <f t="shared" si="50"/>
        <v>4.1079999999999997</v>
      </c>
      <c r="T297" s="175"/>
      <c r="U297" s="202">
        <f>PAProjects[[#This Row],[GOU 21/22]]+PAProjects[[#This Row],[DONOR 21/22]]</f>
        <v>4.1079999999999997</v>
      </c>
      <c r="V297" s="202">
        <f t="shared" si="51"/>
        <v>4.1079999999999997</v>
      </c>
      <c r="W297" s="175"/>
      <c r="X297" s="202">
        <f>PAProjects[[#This Row],[GOU 22/23]]+PAProjects[[#This Row],[DONOR 22/23]]</f>
        <v>4.1079999999999997</v>
      </c>
      <c r="Y297" s="202">
        <f t="shared" si="52"/>
        <v>4.1079999999999997</v>
      </c>
      <c r="Z297" s="175"/>
      <c r="AA297" s="202">
        <f t="shared" si="49"/>
        <v>4.1079999999999997</v>
      </c>
      <c r="AB297" s="202">
        <f t="shared" si="53"/>
        <v>4.1079999999999997</v>
      </c>
      <c r="AC297" s="175"/>
      <c r="AD297" s="202">
        <f>PAProjects[[#This Row],[GOU 24/25]]+PAProjects[[#This Row],[DONOR 24/25]]</f>
        <v>4.1079999999999997</v>
      </c>
    </row>
    <row r="298" spans="1:30" ht="15" customHeight="1" x14ac:dyDescent="0.25">
      <c r="A298" s="180" t="s">
        <v>295</v>
      </c>
      <c r="B298" s="175" t="s">
        <v>1447</v>
      </c>
      <c r="C298" s="175" t="e">
        <f ca="1">PAProjects[[#This Row],[LINKING_CODE]]=_xlfn.CONCAT(PAProjects[[#This Row],[Project Code]]," ",PAProjects[[#This Row],[Project Name]])</f>
        <v>#NAME?</v>
      </c>
      <c r="D298" s="175" t="e">
        <f>VLOOKUP(PAProjects[[#This Row],[LINKING_CODE]],MasterTable[[Project Code and Name ]],1,FALSE)</f>
        <v>#N/A</v>
      </c>
      <c r="E298" s="175" t="s">
        <v>540</v>
      </c>
      <c r="F298" s="175" t="s">
        <v>931</v>
      </c>
      <c r="G298" s="175" t="s">
        <v>147</v>
      </c>
      <c r="H298" s="175" t="str">
        <f>VLOOKUP(I298,'Program Codes'!C:D,2,FALSE)</f>
        <v>13</v>
      </c>
      <c r="I298" s="175" t="s">
        <v>1113</v>
      </c>
      <c r="J298" s="175" t="s">
        <v>1233</v>
      </c>
      <c r="K298" s="175" t="s">
        <v>877</v>
      </c>
      <c r="L298" s="175" t="str">
        <f t="shared" si="37"/>
        <v>Retooling</v>
      </c>
      <c r="M298" s="188">
        <v>44013</v>
      </c>
      <c r="N298" s="182">
        <v>45838</v>
      </c>
      <c r="O298" s="183">
        <v>7.2960000000000003</v>
      </c>
      <c r="P298" s="174"/>
      <c r="Q298" s="174">
        <f t="shared" si="43"/>
        <v>7.2960000000000003</v>
      </c>
      <c r="R298" s="174">
        <v>0</v>
      </c>
      <c r="S298" s="202">
        <f t="shared" si="50"/>
        <v>1.4592000000000001</v>
      </c>
      <c r="T298" s="175"/>
      <c r="U298" s="202">
        <f>PAProjects[[#This Row],[GOU 21/22]]+PAProjects[[#This Row],[DONOR 21/22]]</f>
        <v>1.4592000000000001</v>
      </c>
      <c r="V298" s="202">
        <f t="shared" si="51"/>
        <v>1.4592000000000001</v>
      </c>
      <c r="W298" s="175"/>
      <c r="X298" s="202">
        <f>PAProjects[[#This Row],[GOU 22/23]]+PAProjects[[#This Row],[DONOR 22/23]]</f>
        <v>1.4592000000000001</v>
      </c>
      <c r="Y298" s="202">
        <f t="shared" si="52"/>
        <v>1.4592000000000001</v>
      </c>
      <c r="Z298" s="175"/>
      <c r="AA298" s="202">
        <f t="shared" si="49"/>
        <v>1.4592000000000001</v>
      </c>
      <c r="AB298" s="202">
        <f t="shared" si="53"/>
        <v>1.4592000000000001</v>
      </c>
      <c r="AC298" s="175"/>
      <c r="AD298" s="202">
        <f>PAProjects[[#This Row],[GOU 24/25]]+PAProjects[[#This Row],[DONOR 24/25]]</f>
        <v>1.4592000000000001</v>
      </c>
    </row>
    <row r="299" spans="1:30" ht="15" customHeight="1" x14ac:dyDescent="0.25">
      <c r="A299" s="180" t="s">
        <v>296</v>
      </c>
      <c r="B299" s="175" t="s">
        <v>1448</v>
      </c>
      <c r="C299" s="175" t="e">
        <f ca="1">PAProjects[[#This Row],[LINKING_CODE]]=_xlfn.CONCAT(PAProjects[[#This Row],[Project Code]]," ",PAProjects[[#This Row],[Project Name]])</f>
        <v>#NAME?</v>
      </c>
      <c r="D299" s="175" t="e">
        <f>VLOOKUP(PAProjects[[#This Row],[LINKING_CODE]],MasterTable[[Project Code and Name ]],1,FALSE)</f>
        <v>#N/A</v>
      </c>
      <c r="E299" s="175" t="s">
        <v>522</v>
      </c>
      <c r="F299" s="175" t="s">
        <v>1173</v>
      </c>
      <c r="G299" s="175" t="s">
        <v>68</v>
      </c>
      <c r="H299" s="175" t="str">
        <f>VLOOKUP(I299,'Program Codes'!C:D,2,FALSE)</f>
        <v>18</v>
      </c>
      <c r="I299" s="175" t="s">
        <v>1272</v>
      </c>
      <c r="J299" s="175" t="s">
        <v>753</v>
      </c>
      <c r="K299" s="175" t="s">
        <v>754</v>
      </c>
      <c r="L299" s="175" t="s">
        <v>1509</v>
      </c>
      <c r="M299" s="182">
        <v>39995</v>
      </c>
      <c r="N299" s="182">
        <v>44742</v>
      </c>
      <c r="O299" s="183">
        <v>139.94999999999999</v>
      </c>
      <c r="P299" s="184">
        <v>5.29</v>
      </c>
      <c r="Q299" s="174">
        <f t="shared" si="43"/>
        <v>145.23999999999998</v>
      </c>
      <c r="R299" s="174">
        <v>0</v>
      </c>
      <c r="S299" s="196">
        <v>25.376000000000001</v>
      </c>
      <c r="T299" s="175"/>
      <c r="U299" s="202">
        <f>PAProjects[[#This Row],[GOU 21/22]]+PAProjects[[#This Row],[DONOR 21/22]]</f>
        <v>25.376000000000001</v>
      </c>
      <c r="V299" s="175"/>
      <c r="W299" s="175"/>
      <c r="X299" s="191">
        <f>PAProjects[[#This Row],[GOU 22/23]]+PAProjects[[#This Row],[DONOR 22/23]]</f>
        <v>0</v>
      </c>
      <c r="Y299" s="175"/>
      <c r="Z299" s="175"/>
      <c r="AA299" s="175">
        <f t="shared" ref="AA299:AA329" si="54">Y299+Z299</f>
        <v>0</v>
      </c>
      <c r="AB299" s="175"/>
      <c r="AC299" s="175"/>
      <c r="AD299" s="191">
        <f>PAProjects[[#This Row],[GOU 24/25]]+PAProjects[[#This Row],[DONOR 24/25]]</f>
        <v>0</v>
      </c>
    </row>
    <row r="300" spans="1:30" ht="15" customHeight="1" x14ac:dyDescent="0.25">
      <c r="A300" s="180" t="s">
        <v>297</v>
      </c>
      <c r="B300" s="175" t="s">
        <v>1449</v>
      </c>
      <c r="C300" s="175" t="e">
        <f ca="1">PAProjects[[#This Row],[LINKING_CODE]]=_xlfn.CONCAT(PAProjects[[#This Row],[Project Code]]," ",PAProjects[[#This Row],[Project Name]])</f>
        <v>#NAME?</v>
      </c>
      <c r="D300" s="175" t="e">
        <f>VLOOKUP(PAProjects[[#This Row],[LINKING_CODE]],MasterTable[[Project Code and Name ]],1,FALSE)</f>
        <v>#N/A</v>
      </c>
      <c r="E300" s="175" t="s">
        <v>522</v>
      </c>
      <c r="F300" s="175" t="s">
        <v>1173</v>
      </c>
      <c r="G300" s="175" t="s">
        <v>68</v>
      </c>
      <c r="H300" s="175" t="str">
        <f>VLOOKUP(I300,'Program Codes'!C:D,2,FALSE)</f>
        <v>18</v>
      </c>
      <c r="I300" s="175" t="s">
        <v>1272</v>
      </c>
      <c r="J300" s="175" t="s">
        <v>755</v>
      </c>
      <c r="K300" s="175" t="s">
        <v>1273</v>
      </c>
      <c r="L300" s="175" t="s">
        <v>1509</v>
      </c>
      <c r="M300" s="182">
        <v>40725</v>
      </c>
      <c r="N300" s="182">
        <v>44742</v>
      </c>
      <c r="O300" s="183">
        <v>58.67</v>
      </c>
      <c r="P300" s="184">
        <v>223.67</v>
      </c>
      <c r="Q300" s="174">
        <f t="shared" si="43"/>
        <v>282.33999999999997</v>
      </c>
      <c r="R300" s="174">
        <v>0</v>
      </c>
      <c r="S300" s="175">
        <v>3.2</v>
      </c>
      <c r="T300" s="175"/>
      <c r="U300" s="191">
        <f>PAProjects[[#This Row],[GOU 21/22]]+PAProjects[[#This Row],[DONOR 21/22]]</f>
        <v>3.2</v>
      </c>
      <c r="V300" s="175"/>
      <c r="W300" s="175"/>
      <c r="X300" s="191">
        <f>PAProjects[[#This Row],[GOU 22/23]]+PAProjects[[#This Row],[DONOR 22/23]]</f>
        <v>0</v>
      </c>
      <c r="Y300" s="175"/>
      <c r="Z300" s="175"/>
      <c r="AA300" s="175">
        <f t="shared" si="54"/>
        <v>0</v>
      </c>
      <c r="AB300" s="175"/>
      <c r="AC300" s="175"/>
      <c r="AD300" s="191">
        <f>PAProjects[[#This Row],[GOU 24/25]]+PAProjects[[#This Row],[DONOR 24/25]]</f>
        <v>0</v>
      </c>
    </row>
    <row r="301" spans="1:30" ht="15" customHeight="1" x14ac:dyDescent="0.25">
      <c r="A301" s="180" t="s">
        <v>298</v>
      </c>
      <c r="B301" s="175" t="s">
        <v>1450</v>
      </c>
      <c r="C301" s="175" t="e">
        <f ca="1">PAProjects[[#This Row],[LINKING_CODE]]=_xlfn.CONCAT(PAProjects[[#This Row],[Project Code]]," ",PAProjects[[#This Row],[Project Name]])</f>
        <v>#NAME?</v>
      </c>
      <c r="D301" s="175" t="e">
        <f>VLOOKUP(PAProjects[[#This Row],[LINKING_CODE]],MasterTable[[Project Code and Name ]],1,FALSE)</f>
        <v>#N/A</v>
      </c>
      <c r="E301" s="175" t="s">
        <v>522</v>
      </c>
      <c r="F301" s="175" t="s">
        <v>1173</v>
      </c>
      <c r="G301" s="175" t="s">
        <v>68</v>
      </c>
      <c r="H301" s="175" t="str">
        <f>VLOOKUP(I301,'Program Codes'!C:D,2,FALSE)</f>
        <v>18</v>
      </c>
      <c r="I301" s="175" t="s">
        <v>1272</v>
      </c>
      <c r="J301" s="175" t="s">
        <v>756</v>
      </c>
      <c r="K301" s="175" t="s">
        <v>757</v>
      </c>
      <c r="L301" s="175" t="s">
        <v>1509</v>
      </c>
      <c r="M301" s="182">
        <v>41821</v>
      </c>
      <c r="N301" s="182">
        <v>44742</v>
      </c>
      <c r="O301" s="183">
        <v>5.32</v>
      </c>
      <c r="P301" s="174"/>
      <c r="Q301" s="174">
        <f t="shared" si="43"/>
        <v>5.32</v>
      </c>
      <c r="R301" s="174">
        <v>0</v>
      </c>
      <c r="S301" s="175">
        <v>4.1339519999999998</v>
      </c>
      <c r="T301" s="175"/>
      <c r="U301" s="191">
        <f>PAProjects[[#This Row],[GOU 21/22]]+PAProjects[[#This Row],[DONOR 21/22]]</f>
        <v>4.1339519999999998</v>
      </c>
      <c r="V301" s="175"/>
      <c r="W301" s="175"/>
      <c r="X301" s="191">
        <f>PAProjects[[#This Row],[GOU 22/23]]+PAProjects[[#This Row],[DONOR 22/23]]</f>
        <v>0</v>
      </c>
      <c r="Y301" s="175"/>
      <c r="Z301" s="175"/>
      <c r="AA301" s="175">
        <f t="shared" si="54"/>
        <v>0</v>
      </c>
      <c r="AB301" s="175"/>
      <c r="AC301" s="175"/>
      <c r="AD301" s="191">
        <f>PAProjects[[#This Row],[GOU 24/25]]+PAProjects[[#This Row],[DONOR 24/25]]</f>
        <v>0</v>
      </c>
    </row>
    <row r="302" spans="1:30" ht="15" customHeight="1" x14ac:dyDescent="0.25">
      <c r="A302" s="180" t="s">
        <v>299</v>
      </c>
      <c r="B302" s="175" t="s">
        <v>1451</v>
      </c>
      <c r="C302" s="175" t="e">
        <f ca="1">PAProjects[[#This Row],[LINKING_CODE]]=_xlfn.CONCAT(PAProjects[[#This Row],[Project Code]]," ",PAProjects[[#This Row],[Project Name]])</f>
        <v>#NAME?</v>
      </c>
      <c r="D302" s="175" t="e">
        <f>VLOOKUP(PAProjects[[#This Row],[LINKING_CODE]],MasterTable[[Project Code and Name ]],1,FALSE)</f>
        <v>#N/A</v>
      </c>
      <c r="E302" s="175" t="s">
        <v>522</v>
      </c>
      <c r="F302" s="175" t="s">
        <v>1173</v>
      </c>
      <c r="G302" s="175" t="s">
        <v>68</v>
      </c>
      <c r="H302" s="175" t="str">
        <f>VLOOKUP(I302,'Program Codes'!C:D,2,FALSE)</f>
        <v>18</v>
      </c>
      <c r="I302" s="175" t="s">
        <v>1272</v>
      </c>
      <c r="J302" s="175" t="s">
        <v>760</v>
      </c>
      <c r="K302" s="175" t="s">
        <v>761</v>
      </c>
      <c r="L302" s="175" t="s">
        <v>1509</v>
      </c>
      <c r="M302" s="182">
        <v>42186</v>
      </c>
      <c r="N302" s="182">
        <v>44742</v>
      </c>
      <c r="O302" s="183">
        <v>79.349999999999994</v>
      </c>
      <c r="P302" s="174"/>
      <c r="Q302" s="174">
        <f t="shared" si="43"/>
        <v>79.349999999999994</v>
      </c>
      <c r="R302" s="174">
        <v>0</v>
      </c>
      <c r="S302" s="175">
        <v>46.244738509999998</v>
      </c>
      <c r="T302" s="175"/>
      <c r="U302" s="191">
        <f>PAProjects[[#This Row],[GOU 21/22]]+PAProjects[[#This Row],[DONOR 21/22]]</f>
        <v>46.244738509999998</v>
      </c>
      <c r="V302" s="175"/>
      <c r="W302" s="175"/>
      <c r="X302" s="191">
        <f>PAProjects[[#This Row],[GOU 22/23]]+PAProjects[[#This Row],[DONOR 22/23]]</f>
        <v>0</v>
      </c>
      <c r="Y302" s="175"/>
      <c r="Z302" s="175"/>
      <c r="AA302" s="175">
        <f t="shared" si="54"/>
        <v>0</v>
      </c>
      <c r="AB302" s="175"/>
      <c r="AC302" s="175"/>
      <c r="AD302" s="191">
        <f>PAProjects[[#This Row],[GOU 24/25]]+PAProjects[[#This Row],[DONOR 24/25]]</f>
        <v>0</v>
      </c>
    </row>
    <row r="303" spans="1:30" ht="15" customHeight="1" x14ac:dyDescent="0.25">
      <c r="A303" s="180" t="s">
        <v>300</v>
      </c>
      <c r="B303" s="175" t="s">
        <v>1452</v>
      </c>
      <c r="C303" s="175" t="e">
        <f ca="1">PAProjects[[#This Row],[LINKING_CODE]]=_xlfn.CONCAT(PAProjects[[#This Row],[Project Code]]," ",PAProjects[[#This Row],[Project Name]])</f>
        <v>#NAME?</v>
      </c>
      <c r="D303" s="175" t="e">
        <f>VLOOKUP(PAProjects[[#This Row],[LINKING_CODE]],MasterTable[[Project Code and Name ]],1,FALSE)</f>
        <v>#N/A</v>
      </c>
      <c r="E303" s="175" t="s">
        <v>522</v>
      </c>
      <c r="F303" s="175" t="s">
        <v>1173</v>
      </c>
      <c r="G303" s="175" t="s">
        <v>68</v>
      </c>
      <c r="H303" s="175" t="str">
        <f>VLOOKUP(I303,'Program Codes'!C:D,2,FALSE)</f>
        <v>18</v>
      </c>
      <c r="I303" s="175" t="s">
        <v>1272</v>
      </c>
      <c r="J303" s="175" t="s">
        <v>762</v>
      </c>
      <c r="K303" s="175" t="s">
        <v>763</v>
      </c>
      <c r="L303" s="175" t="s">
        <v>1509</v>
      </c>
      <c r="M303" s="182">
        <v>42552</v>
      </c>
      <c r="N303" s="182">
        <v>44742</v>
      </c>
      <c r="O303" s="183">
        <v>53.88</v>
      </c>
      <c r="P303" s="174"/>
      <c r="Q303" s="174">
        <f t="shared" si="43"/>
        <v>53.88</v>
      </c>
      <c r="R303" s="174">
        <v>0</v>
      </c>
      <c r="S303" s="175">
        <v>2.0609600000000001</v>
      </c>
      <c r="T303" s="175"/>
      <c r="U303" s="191">
        <f>PAProjects[[#This Row],[GOU 21/22]]+PAProjects[[#This Row],[DONOR 21/22]]</f>
        <v>2.0609600000000001</v>
      </c>
      <c r="V303" s="175"/>
      <c r="W303" s="175"/>
      <c r="X303" s="191">
        <f>PAProjects[[#This Row],[GOU 22/23]]+PAProjects[[#This Row],[DONOR 22/23]]</f>
        <v>0</v>
      </c>
      <c r="Y303" s="175"/>
      <c r="Z303" s="175"/>
      <c r="AA303" s="175">
        <f t="shared" si="54"/>
        <v>0</v>
      </c>
      <c r="AB303" s="175"/>
      <c r="AC303" s="175"/>
      <c r="AD303" s="191">
        <f>PAProjects[[#This Row],[GOU 24/25]]+PAProjects[[#This Row],[DONOR 24/25]]</f>
        <v>0</v>
      </c>
    </row>
    <row r="304" spans="1:30" ht="15" customHeight="1" x14ac:dyDescent="0.25">
      <c r="A304" s="180" t="s">
        <v>301</v>
      </c>
      <c r="B304" s="175" t="s">
        <v>1453</v>
      </c>
      <c r="C304" s="175" t="e">
        <f ca="1">PAProjects[[#This Row],[LINKING_CODE]]=_xlfn.CONCAT(PAProjects[[#This Row],[Project Code]]," ",PAProjects[[#This Row],[Project Name]])</f>
        <v>#NAME?</v>
      </c>
      <c r="D304" s="175" t="e">
        <f>VLOOKUP(PAProjects[[#This Row],[LINKING_CODE]],MasterTable[[Project Code and Name ]],1,FALSE)</f>
        <v>#N/A</v>
      </c>
      <c r="E304" s="175" t="s">
        <v>522</v>
      </c>
      <c r="F304" s="175" t="s">
        <v>1173</v>
      </c>
      <c r="G304" s="175" t="s">
        <v>68</v>
      </c>
      <c r="H304" s="175" t="str">
        <f>VLOOKUP(I304,'Program Codes'!C:D,2,FALSE)</f>
        <v>18</v>
      </c>
      <c r="I304" s="175" t="s">
        <v>1272</v>
      </c>
      <c r="J304" s="175" t="s">
        <v>764</v>
      </c>
      <c r="K304" s="175" t="s">
        <v>765</v>
      </c>
      <c r="L304" s="175" t="s">
        <v>1509</v>
      </c>
      <c r="M304" s="182">
        <v>42552</v>
      </c>
      <c r="N304" s="182">
        <v>44742</v>
      </c>
      <c r="O304" s="183">
        <v>100.76</v>
      </c>
      <c r="P304" s="174"/>
      <c r="Q304" s="174">
        <f t="shared" si="43"/>
        <v>100.76</v>
      </c>
      <c r="R304" s="174">
        <v>0</v>
      </c>
      <c r="S304" s="175">
        <v>22.053285200000001</v>
      </c>
      <c r="T304" s="175"/>
      <c r="U304" s="191">
        <f>PAProjects[[#This Row],[GOU 21/22]]+PAProjects[[#This Row],[DONOR 21/22]]</f>
        <v>22.053285200000001</v>
      </c>
      <c r="V304" s="175"/>
      <c r="W304" s="175"/>
      <c r="X304" s="191">
        <f>PAProjects[[#This Row],[GOU 22/23]]+PAProjects[[#This Row],[DONOR 22/23]]</f>
        <v>0</v>
      </c>
      <c r="Y304" s="175"/>
      <c r="Z304" s="175"/>
      <c r="AA304" s="175">
        <f t="shared" si="54"/>
        <v>0</v>
      </c>
      <c r="AB304" s="175"/>
      <c r="AC304" s="175"/>
      <c r="AD304" s="191">
        <f>PAProjects[[#This Row],[GOU 24/25]]+PAProjects[[#This Row],[DONOR 24/25]]</f>
        <v>0</v>
      </c>
    </row>
    <row r="305" spans="1:30" ht="15" customHeight="1" x14ac:dyDescent="0.25">
      <c r="A305" s="180" t="s">
        <v>302</v>
      </c>
      <c r="B305" s="175" t="s">
        <v>1454</v>
      </c>
      <c r="C305" s="175" t="e">
        <f ca="1">PAProjects[[#This Row],[LINKING_CODE]]=_xlfn.CONCAT(PAProjects[[#This Row],[Project Code]]," ",PAProjects[[#This Row],[Project Name]])</f>
        <v>#NAME?</v>
      </c>
      <c r="D305" s="175" t="e">
        <f>VLOOKUP(PAProjects[[#This Row],[LINKING_CODE]],MasterTable[[Project Code and Name ]],1,FALSE)</f>
        <v>#N/A</v>
      </c>
      <c r="E305" s="175" t="s">
        <v>522</v>
      </c>
      <c r="F305" s="175" t="s">
        <v>1173</v>
      </c>
      <c r="G305" s="175" t="s">
        <v>68</v>
      </c>
      <c r="H305" s="175" t="str">
        <f>VLOOKUP(I305,'Program Codes'!C:D,2,FALSE)</f>
        <v>18</v>
      </c>
      <c r="I305" s="175" t="s">
        <v>1272</v>
      </c>
      <c r="J305" s="175" t="s">
        <v>766</v>
      </c>
      <c r="K305" s="175" t="s">
        <v>767</v>
      </c>
      <c r="L305" s="175" t="s">
        <v>1509</v>
      </c>
      <c r="M305" s="182">
        <v>42552</v>
      </c>
      <c r="N305" s="182">
        <v>44742</v>
      </c>
      <c r="O305" s="183">
        <v>60.4</v>
      </c>
      <c r="P305" s="174"/>
      <c r="Q305" s="174">
        <f t="shared" si="43"/>
        <v>60.4</v>
      </c>
      <c r="R305" s="174">
        <v>0</v>
      </c>
      <c r="S305" s="175">
        <v>25.473914059999998</v>
      </c>
      <c r="T305" s="175"/>
      <c r="U305" s="191">
        <f>PAProjects[[#This Row],[GOU 21/22]]+PAProjects[[#This Row],[DONOR 21/22]]</f>
        <v>25.473914059999998</v>
      </c>
      <c r="V305" s="175"/>
      <c r="W305" s="175"/>
      <c r="X305" s="191">
        <f>PAProjects[[#This Row],[GOU 22/23]]+PAProjects[[#This Row],[DONOR 22/23]]</f>
        <v>0</v>
      </c>
      <c r="Y305" s="175"/>
      <c r="Z305" s="175"/>
      <c r="AA305" s="175">
        <f t="shared" si="54"/>
        <v>0</v>
      </c>
      <c r="AB305" s="175"/>
      <c r="AC305" s="175"/>
      <c r="AD305" s="191">
        <f>PAProjects[[#This Row],[GOU 24/25]]+PAProjects[[#This Row],[DONOR 24/25]]</f>
        <v>0</v>
      </c>
    </row>
    <row r="306" spans="1:30" ht="15" customHeight="1" x14ac:dyDescent="0.25">
      <c r="A306" s="180" t="s">
        <v>303</v>
      </c>
      <c r="B306" s="175" t="s">
        <v>1455</v>
      </c>
      <c r="C306" s="175" t="e">
        <f ca="1">PAProjects[[#This Row],[LINKING_CODE]]=_xlfn.CONCAT(PAProjects[[#This Row],[Project Code]]," ",PAProjects[[#This Row],[Project Name]])</f>
        <v>#NAME?</v>
      </c>
      <c r="D306" s="175" t="e">
        <f>VLOOKUP(PAProjects[[#This Row],[LINKING_CODE]],MasterTable[[Project Code and Name ]],1,FALSE)</f>
        <v>#N/A</v>
      </c>
      <c r="E306" s="175" t="s">
        <v>522</v>
      </c>
      <c r="F306" s="175" t="s">
        <v>1173</v>
      </c>
      <c r="G306" s="175" t="s">
        <v>68</v>
      </c>
      <c r="H306" s="175" t="str">
        <f>VLOOKUP(I306,'Program Codes'!C:D,2,FALSE)</f>
        <v>18</v>
      </c>
      <c r="I306" s="175" t="s">
        <v>1272</v>
      </c>
      <c r="J306" s="175" t="s">
        <v>768</v>
      </c>
      <c r="K306" s="175" t="s">
        <v>769</v>
      </c>
      <c r="L306" s="175" t="s">
        <v>1509</v>
      </c>
      <c r="M306" s="182">
        <v>42552</v>
      </c>
      <c r="N306" s="182">
        <v>44742</v>
      </c>
      <c r="O306" s="183">
        <v>55.43</v>
      </c>
      <c r="P306" s="184">
        <v>157.44999999999999</v>
      </c>
      <c r="Q306" s="174">
        <f t="shared" si="43"/>
        <v>212.88</v>
      </c>
      <c r="R306" s="174">
        <v>0</v>
      </c>
      <c r="S306" s="175">
        <v>3.2</v>
      </c>
      <c r="T306" s="175"/>
      <c r="U306" s="191">
        <f>PAProjects[[#This Row],[GOU 21/22]]+PAProjects[[#This Row],[DONOR 21/22]]</f>
        <v>3.2</v>
      </c>
      <c r="V306" s="175"/>
      <c r="W306" s="175"/>
      <c r="X306" s="191">
        <f>PAProjects[[#This Row],[GOU 22/23]]+PAProjects[[#This Row],[DONOR 22/23]]</f>
        <v>0</v>
      </c>
      <c r="Y306" s="175"/>
      <c r="Z306" s="175"/>
      <c r="AA306" s="175">
        <f t="shared" si="54"/>
        <v>0</v>
      </c>
      <c r="AB306" s="175"/>
      <c r="AC306" s="175"/>
      <c r="AD306" s="191">
        <f>PAProjects[[#This Row],[GOU 24/25]]+PAProjects[[#This Row],[DONOR 24/25]]</f>
        <v>0</v>
      </c>
    </row>
    <row r="307" spans="1:30" ht="15" customHeight="1" x14ac:dyDescent="0.25">
      <c r="A307" s="180" t="s">
        <v>304</v>
      </c>
      <c r="B307" s="175" t="s">
        <v>1456</v>
      </c>
      <c r="C307" s="175" t="e">
        <f ca="1">PAProjects[[#This Row],[LINKING_CODE]]=_xlfn.CONCAT(PAProjects[[#This Row],[Project Code]]," ",PAProjects[[#This Row],[Project Name]])</f>
        <v>#NAME?</v>
      </c>
      <c r="D307" s="175" t="e">
        <f>VLOOKUP(PAProjects[[#This Row],[LINKING_CODE]],MasterTable[[Project Code and Name ]],1,FALSE)</f>
        <v>#N/A</v>
      </c>
      <c r="E307" s="175" t="s">
        <v>522</v>
      </c>
      <c r="F307" s="175" t="s">
        <v>1173</v>
      </c>
      <c r="G307" s="175" t="s">
        <v>68</v>
      </c>
      <c r="H307" s="175" t="str">
        <f>VLOOKUP(I307,'Program Codes'!C:D,2,FALSE)</f>
        <v>18</v>
      </c>
      <c r="I307" s="175" t="s">
        <v>1272</v>
      </c>
      <c r="J307" s="175" t="s">
        <v>770</v>
      </c>
      <c r="K307" s="175" t="s">
        <v>771</v>
      </c>
      <c r="L307" s="175" t="s">
        <v>1509</v>
      </c>
      <c r="M307" s="182">
        <v>42552</v>
      </c>
      <c r="N307" s="182">
        <v>44742</v>
      </c>
      <c r="O307" s="183">
        <v>103.76909999999999</v>
      </c>
      <c r="P307" s="184">
        <v>282.75</v>
      </c>
      <c r="Q307" s="174">
        <f t="shared" si="43"/>
        <v>386.51909999999998</v>
      </c>
      <c r="R307" s="174">
        <v>0</v>
      </c>
      <c r="S307" s="175"/>
      <c r="T307" s="175">
        <v>98.618695254000002</v>
      </c>
      <c r="U307" s="191">
        <f>PAProjects[[#This Row],[GOU 21/22]]+PAProjects[[#This Row],[DONOR 21/22]]</f>
        <v>98.618695254000002</v>
      </c>
      <c r="V307" s="175"/>
      <c r="W307" s="175"/>
      <c r="X307" s="191">
        <f>PAProjects[[#This Row],[GOU 22/23]]+PAProjects[[#This Row],[DONOR 22/23]]</f>
        <v>0</v>
      </c>
      <c r="Y307" s="175"/>
      <c r="Z307" s="175"/>
      <c r="AA307" s="175">
        <f t="shared" si="54"/>
        <v>0</v>
      </c>
      <c r="AB307" s="175"/>
      <c r="AC307" s="175"/>
      <c r="AD307" s="191">
        <f>PAProjects[[#This Row],[GOU 24/25]]+PAProjects[[#This Row],[DONOR 24/25]]</f>
        <v>0</v>
      </c>
    </row>
    <row r="308" spans="1:30" ht="15" customHeight="1" x14ac:dyDescent="0.25">
      <c r="A308" s="180" t="s">
        <v>305</v>
      </c>
      <c r="B308" s="175" t="s">
        <v>1457</v>
      </c>
      <c r="C308" s="175" t="e">
        <f ca="1">PAProjects[[#This Row],[LINKING_CODE]]=_xlfn.CONCAT(PAProjects[[#This Row],[Project Code]]," ",PAProjects[[#This Row],[Project Name]])</f>
        <v>#NAME?</v>
      </c>
      <c r="D308" s="175" t="e">
        <f>VLOOKUP(PAProjects[[#This Row],[LINKING_CODE]],MasterTable[[Project Code and Name ]],1,FALSE)</f>
        <v>#N/A</v>
      </c>
      <c r="E308" s="175" t="s">
        <v>522</v>
      </c>
      <c r="F308" s="175" t="s">
        <v>1173</v>
      </c>
      <c r="G308" s="175" t="s">
        <v>68</v>
      </c>
      <c r="H308" s="175" t="str">
        <f>VLOOKUP(I308,'Program Codes'!C:D,2,FALSE)</f>
        <v>18</v>
      </c>
      <c r="I308" s="175" t="s">
        <v>1272</v>
      </c>
      <c r="J308" s="175" t="s">
        <v>772</v>
      </c>
      <c r="K308" s="175" t="s">
        <v>773</v>
      </c>
      <c r="L308" s="175" t="s">
        <v>1509</v>
      </c>
      <c r="M308" s="182">
        <v>42917</v>
      </c>
      <c r="N308" s="182">
        <v>44742</v>
      </c>
      <c r="O308" s="183">
        <v>4.5140000000000002</v>
      </c>
      <c r="P308" s="184">
        <v>42.75</v>
      </c>
      <c r="Q308" s="174">
        <f t="shared" ref="Q308:Q329" si="55">SUM(O308:P308)</f>
        <v>47.264000000000003</v>
      </c>
      <c r="R308" s="174">
        <v>0</v>
      </c>
      <c r="S308" s="175">
        <v>4.601</v>
      </c>
      <c r="T308" s="175"/>
      <c r="U308" s="191">
        <f>PAProjects[[#This Row],[GOU 21/22]]+PAProjects[[#This Row],[DONOR 21/22]]</f>
        <v>4.601</v>
      </c>
      <c r="V308" s="175"/>
      <c r="W308" s="175"/>
      <c r="X308" s="191">
        <f>PAProjects[[#This Row],[GOU 22/23]]+PAProjects[[#This Row],[DONOR 22/23]]</f>
        <v>0</v>
      </c>
      <c r="Y308" s="175"/>
      <c r="Z308" s="175"/>
      <c r="AA308" s="175">
        <f t="shared" si="54"/>
        <v>0</v>
      </c>
      <c r="AB308" s="175"/>
      <c r="AC308" s="175"/>
      <c r="AD308" s="191">
        <f>PAProjects[[#This Row],[GOU 24/25]]+PAProjects[[#This Row],[DONOR 24/25]]</f>
        <v>0</v>
      </c>
    </row>
    <row r="309" spans="1:30" ht="15" customHeight="1" x14ac:dyDescent="0.25">
      <c r="A309" s="180" t="s">
        <v>306</v>
      </c>
      <c r="B309" s="175" t="s">
        <v>1458</v>
      </c>
      <c r="C309" s="175" t="e">
        <f ca="1">PAProjects[[#This Row],[LINKING_CODE]]=_xlfn.CONCAT(PAProjects[[#This Row],[Project Code]]," ",PAProjects[[#This Row],[Project Name]])</f>
        <v>#NAME?</v>
      </c>
      <c r="D309" s="175" t="e">
        <f>VLOOKUP(PAProjects[[#This Row],[LINKING_CODE]],MasterTable[[Project Code and Name ]],1,FALSE)</f>
        <v>#N/A</v>
      </c>
      <c r="E309" s="175" t="s">
        <v>522</v>
      </c>
      <c r="F309" s="175" t="s">
        <v>1173</v>
      </c>
      <c r="G309" s="175" t="s">
        <v>68</v>
      </c>
      <c r="H309" s="175" t="str">
        <f>VLOOKUP(I309,'Program Codes'!C:D,2,FALSE)</f>
        <v>18</v>
      </c>
      <c r="I309" s="175" t="s">
        <v>1272</v>
      </c>
      <c r="J309" s="175" t="s">
        <v>758</v>
      </c>
      <c r="K309" s="175" t="s">
        <v>759</v>
      </c>
      <c r="L309" s="175" t="s">
        <v>1509</v>
      </c>
      <c r="M309" s="182">
        <v>42917</v>
      </c>
      <c r="N309" s="182">
        <v>44742</v>
      </c>
      <c r="O309" s="183">
        <v>90</v>
      </c>
      <c r="P309" s="174"/>
      <c r="Q309" s="174">
        <f t="shared" si="55"/>
        <v>90</v>
      </c>
      <c r="R309" s="174">
        <v>0</v>
      </c>
      <c r="S309" s="175">
        <v>40</v>
      </c>
      <c r="T309" s="175"/>
      <c r="U309" s="191">
        <f>PAProjects[[#This Row],[GOU 21/22]]+PAProjects[[#This Row],[DONOR 21/22]]</f>
        <v>40</v>
      </c>
      <c r="V309" s="175"/>
      <c r="W309" s="175"/>
      <c r="X309" s="191">
        <f>PAProjects[[#This Row],[GOU 22/23]]+PAProjects[[#This Row],[DONOR 22/23]]</f>
        <v>0</v>
      </c>
      <c r="Y309" s="175"/>
      <c r="Z309" s="175"/>
      <c r="AA309" s="175">
        <f t="shared" si="54"/>
        <v>0</v>
      </c>
      <c r="AB309" s="175"/>
      <c r="AC309" s="175"/>
      <c r="AD309" s="191">
        <f>PAProjects[[#This Row],[GOU 24/25]]+PAProjects[[#This Row],[DONOR 24/25]]</f>
        <v>0</v>
      </c>
    </row>
    <row r="310" spans="1:30" ht="15" customHeight="1" x14ac:dyDescent="0.25">
      <c r="A310" s="180" t="s">
        <v>307</v>
      </c>
      <c r="B310" s="175" t="s">
        <v>1459</v>
      </c>
      <c r="C310" s="175" t="e">
        <f ca="1">PAProjects[[#This Row],[LINKING_CODE]]=_xlfn.CONCAT(PAProjects[[#This Row],[Project Code]]," ",PAProjects[[#This Row],[Project Name]])</f>
        <v>#NAME?</v>
      </c>
      <c r="D310" s="175" t="e">
        <f>VLOOKUP(PAProjects[[#This Row],[LINKING_CODE]],MasterTable[[Project Code and Name ]],1,FALSE)</f>
        <v>#N/A</v>
      </c>
      <c r="E310" s="175" t="s">
        <v>522</v>
      </c>
      <c r="F310" s="175" t="s">
        <v>1173</v>
      </c>
      <c r="G310" s="175" t="s">
        <v>68</v>
      </c>
      <c r="H310" s="175" t="str">
        <f>VLOOKUP(I310,'Program Codes'!C:D,2,FALSE)</f>
        <v>18</v>
      </c>
      <c r="I310" s="175" t="s">
        <v>1272</v>
      </c>
      <c r="J310" s="175" t="s">
        <v>774</v>
      </c>
      <c r="K310" s="175" t="s">
        <v>1274</v>
      </c>
      <c r="L310" s="175" t="s">
        <v>1509</v>
      </c>
      <c r="M310" s="182">
        <v>42917</v>
      </c>
      <c r="N310" s="182">
        <v>44742</v>
      </c>
      <c r="O310" s="183">
        <v>1.36</v>
      </c>
      <c r="P310" s="184">
        <v>27.393000000000001</v>
      </c>
      <c r="Q310" s="174">
        <f t="shared" si="55"/>
        <v>28.753</v>
      </c>
      <c r="R310" s="174">
        <v>0</v>
      </c>
      <c r="S310" s="175">
        <v>8.7149999999999999</v>
      </c>
      <c r="T310" s="175"/>
      <c r="U310" s="191">
        <f>PAProjects[[#This Row],[GOU 21/22]]+PAProjects[[#This Row],[DONOR 21/22]]</f>
        <v>8.7149999999999999</v>
      </c>
      <c r="V310" s="175"/>
      <c r="W310" s="175"/>
      <c r="X310" s="191">
        <f>PAProjects[[#This Row],[GOU 22/23]]+PAProjects[[#This Row],[DONOR 22/23]]</f>
        <v>0</v>
      </c>
      <c r="Y310" s="175"/>
      <c r="Z310" s="175"/>
      <c r="AA310" s="175">
        <f t="shared" si="54"/>
        <v>0</v>
      </c>
      <c r="AB310" s="175"/>
      <c r="AC310" s="175"/>
      <c r="AD310" s="191">
        <f>PAProjects[[#This Row],[GOU 24/25]]+PAProjects[[#This Row],[DONOR 24/25]]</f>
        <v>0</v>
      </c>
    </row>
    <row r="311" spans="1:30" ht="15" customHeight="1" x14ac:dyDescent="0.25">
      <c r="A311" s="180" t="s">
        <v>308</v>
      </c>
      <c r="B311" s="175" t="s">
        <v>1460</v>
      </c>
      <c r="C311" s="175" t="e">
        <f ca="1">PAProjects[[#This Row],[LINKING_CODE]]=_xlfn.CONCAT(PAProjects[[#This Row],[Project Code]]," ",PAProjects[[#This Row],[Project Name]])</f>
        <v>#NAME?</v>
      </c>
      <c r="D311" s="175" t="e">
        <f>VLOOKUP(PAProjects[[#This Row],[LINKING_CODE]],MasterTable[[Project Code and Name ]],1,FALSE)</f>
        <v>#N/A</v>
      </c>
      <c r="E311" s="175" t="s">
        <v>522</v>
      </c>
      <c r="F311" s="175" t="s">
        <v>1173</v>
      </c>
      <c r="G311" s="175" t="s">
        <v>68</v>
      </c>
      <c r="H311" s="175" t="str">
        <f>VLOOKUP(I311,'Program Codes'!C:D,2,FALSE)</f>
        <v>18</v>
      </c>
      <c r="I311" s="175" t="s">
        <v>1272</v>
      </c>
      <c r="J311" s="175" t="s">
        <v>777</v>
      </c>
      <c r="K311" s="175" t="s">
        <v>1275</v>
      </c>
      <c r="L311" s="175" t="s">
        <v>1509</v>
      </c>
      <c r="M311" s="182">
        <v>43647</v>
      </c>
      <c r="N311" s="182">
        <v>44742</v>
      </c>
      <c r="O311" s="183">
        <v>32.450000000000003</v>
      </c>
      <c r="P311" s="174"/>
      <c r="Q311" s="174">
        <f t="shared" si="55"/>
        <v>32.450000000000003</v>
      </c>
      <c r="R311" s="174">
        <v>0</v>
      </c>
      <c r="S311" s="175">
        <v>10.004524999999999</v>
      </c>
      <c r="T311" s="175"/>
      <c r="U311" s="191">
        <f>PAProjects[[#This Row],[GOU 21/22]]+PAProjects[[#This Row],[DONOR 21/22]]</f>
        <v>10.004524999999999</v>
      </c>
      <c r="V311" s="175">
        <v>12.080203750000001</v>
      </c>
      <c r="W311" s="175"/>
      <c r="X311" s="191">
        <f>PAProjects[[#This Row],[GOU 22/23]]+PAProjects[[#This Row],[DONOR 22/23]]</f>
        <v>12.080203750000001</v>
      </c>
      <c r="Y311" s="175">
        <v>13.892234312499999</v>
      </c>
      <c r="Z311" s="175"/>
      <c r="AA311" s="175">
        <f t="shared" si="54"/>
        <v>13.892234312499999</v>
      </c>
      <c r="AB311" s="175"/>
      <c r="AC311" s="175"/>
      <c r="AD311" s="191">
        <f>PAProjects[[#This Row],[GOU 24/25]]+PAProjects[[#This Row],[DONOR 24/25]]</f>
        <v>0</v>
      </c>
    </row>
    <row r="312" spans="1:30" ht="15" customHeight="1" x14ac:dyDescent="0.25">
      <c r="A312" s="180" t="s">
        <v>309</v>
      </c>
      <c r="B312" s="175" t="s">
        <v>1461</v>
      </c>
      <c r="C312" s="175" t="e">
        <f ca="1">PAProjects[[#This Row],[LINKING_CODE]]=_xlfn.CONCAT(PAProjects[[#This Row],[Project Code]]," ",PAProjects[[#This Row],[Project Name]])</f>
        <v>#NAME?</v>
      </c>
      <c r="D312" s="175" t="e">
        <f>VLOOKUP(PAProjects[[#This Row],[LINKING_CODE]],MasterTable[[Project Code and Name ]],1,FALSE)</f>
        <v>#N/A</v>
      </c>
      <c r="E312" s="175" t="s">
        <v>522</v>
      </c>
      <c r="F312" s="175" t="s">
        <v>1173</v>
      </c>
      <c r="G312" s="175" t="s">
        <v>68</v>
      </c>
      <c r="H312" s="175" t="str">
        <f>VLOOKUP(I312,'Program Codes'!C:D,2,FALSE)</f>
        <v>18</v>
      </c>
      <c r="I312" s="175" t="s">
        <v>1272</v>
      </c>
      <c r="J312" s="175" t="s">
        <v>778</v>
      </c>
      <c r="K312" s="175" t="s">
        <v>779</v>
      </c>
      <c r="L312" s="175" t="s">
        <v>1509</v>
      </c>
      <c r="M312" s="182">
        <v>43647</v>
      </c>
      <c r="N312" s="182">
        <v>44742</v>
      </c>
      <c r="O312" s="183">
        <v>530.15499999999997</v>
      </c>
      <c r="P312" s="174"/>
      <c r="Q312" s="174">
        <f t="shared" si="55"/>
        <v>530.15499999999997</v>
      </c>
      <c r="R312" s="174">
        <v>0</v>
      </c>
      <c r="S312" s="175">
        <v>27.262398975</v>
      </c>
      <c r="T312" s="175"/>
      <c r="U312" s="191">
        <f>PAProjects[[#This Row],[GOU 21/22]]+PAProjects[[#This Row],[DONOR 21/22]]</f>
        <v>27.262398975</v>
      </c>
      <c r="V312" s="175">
        <v>23.262</v>
      </c>
      <c r="W312" s="175"/>
      <c r="X312" s="191">
        <f>PAProjects[[#This Row],[GOU 22/23]]+PAProjects[[#This Row],[DONOR 22/23]]</f>
        <v>23.262</v>
      </c>
      <c r="Y312" s="175">
        <v>23.262</v>
      </c>
      <c r="Z312" s="175"/>
      <c r="AA312" s="175">
        <f t="shared" si="54"/>
        <v>23.262</v>
      </c>
      <c r="AB312" s="175"/>
      <c r="AC312" s="175"/>
      <c r="AD312" s="191">
        <f>PAProjects[[#This Row],[GOU 24/25]]+PAProjects[[#This Row],[DONOR 24/25]]</f>
        <v>0</v>
      </c>
    </row>
    <row r="313" spans="1:30" ht="15" customHeight="1" x14ac:dyDescent="0.25">
      <c r="A313" s="180" t="s">
        <v>310</v>
      </c>
      <c r="B313" s="175" t="s">
        <v>1462</v>
      </c>
      <c r="C313" s="175" t="e">
        <f ca="1">PAProjects[[#This Row],[LINKING_CODE]]=_xlfn.CONCAT(PAProjects[[#This Row],[Project Code]]," ",PAProjects[[#This Row],[Project Name]])</f>
        <v>#NAME?</v>
      </c>
      <c r="D313" s="175" t="e">
        <f>VLOOKUP(PAProjects[[#This Row],[LINKING_CODE]],MasterTable[[Project Code and Name ]],1,FALSE)</f>
        <v>#N/A</v>
      </c>
      <c r="E313" s="175" t="s">
        <v>522</v>
      </c>
      <c r="F313" s="175" t="s">
        <v>1173</v>
      </c>
      <c r="G313" s="175" t="s">
        <v>68</v>
      </c>
      <c r="H313" s="175" t="str">
        <f>VLOOKUP(I313,'Program Codes'!C:D,2,FALSE)</f>
        <v>18</v>
      </c>
      <c r="I313" s="175" t="s">
        <v>1272</v>
      </c>
      <c r="J313" s="175" t="s">
        <v>780</v>
      </c>
      <c r="K313" s="175" t="s">
        <v>781</v>
      </c>
      <c r="L313" s="175" t="s">
        <v>1509</v>
      </c>
      <c r="M313" s="182">
        <v>43647</v>
      </c>
      <c r="N313" s="182">
        <v>44742</v>
      </c>
      <c r="O313" s="183">
        <v>75</v>
      </c>
      <c r="P313" s="184">
        <v>120.8</v>
      </c>
      <c r="Q313" s="174">
        <f t="shared" si="55"/>
        <v>195.8</v>
      </c>
      <c r="R313" s="174">
        <v>0</v>
      </c>
      <c r="S313" s="175">
        <v>36.524990000000003</v>
      </c>
      <c r="T313" s="175"/>
      <c r="U313" s="191">
        <f>PAProjects[[#This Row],[GOU 21/22]]+PAProjects[[#This Row],[DONOR 21/22]]</f>
        <v>36.524990000000003</v>
      </c>
      <c r="V313" s="175">
        <v>15.525</v>
      </c>
      <c r="W313" s="175"/>
      <c r="X313" s="191">
        <f>PAProjects[[#This Row],[GOU 22/23]]+PAProjects[[#This Row],[DONOR 22/23]]</f>
        <v>15.525</v>
      </c>
      <c r="Y313" s="175">
        <v>15.525</v>
      </c>
      <c r="Z313" s="175"/>
      <c r="AA313" s="175">
        <f t="shared" si="54"/>
        <v>15.525</v>
      </c>
      <c r="AB313" s="175"/>
      <c r="AC313" s="175"/>
      <c r="AD313" s="191">
        <f>PAProjects[[#This Row],[GOU 24/25]]+PAProjects[[#This Row],[DONOR 24/25]]</f>
        <v>0</v>
      </c>
    </row>
    <row r="314" spans="1:30" ht="15" customHeight="1" x14ac:dyDescent="0.25">
      <c r="A314" s="180" t="s">
        <v>311</v>
      </c>
      <c r="B314" s="175" t="s">
        <v>1463</v>
      </c>
      <c r="C314" s="175" t="e">
        <f ca="1">PAProjects[[#This Row],[LINKING_CODE]]=_xlfn.CONCAT(PAProjects[[#This Row],[Project Code]]," ",PAProjects[[#This Row],[Project Name]])</f>
        <v>#NAME?</v>
      </c>
      <c r="D314" s="175" t="e">
        <f>VLOOKUP(PAProjects[[#This Row],[LINKING_CODE]],MasterTable[[Project Code and Name ]],1,FALSE)</f>
        <v>#N/A</v>
      </c>
      <c r="E314" s="175" t="s">
        <v>522</v>
      </c>
      <c r="F314" s="175" t="s">
        <v>1173</v>
      </c>
      <c r="G314" s="175" t="s">
        <v>68</v>
      </c>
      <c r="H314" s="175" t="str">
        <f>VLOOKUP(I314,'Program Codes'!C:D,2,FALSE)</f>
        <v>18</v>
      </c>
      <c r="I314" s="175" t="s">
        <v>1272</v>
      </c>
      <c r="J314" s="175" t="s">
        <v>782</v>
      </c>
      <c r="K314" s="175" t="s">
        <v>783</v>
      </c>
      <c r="L314" s="175" t="s">
        <v>1509</v>
      </c>
      <c r="M314" s="182">
        <v>43647</v>
      </c>
      <c r="N314" s="182">
        <v>44742</v>
      </c>
      <c r="O314" s="183">
        <v>169.9</v>
      </c>
      <c r="P314" s="184">
        <v>95.74</v>
      </c>
      <c r="Q314" s="174">
        <f t="shared" si="55"/>
        <v>265.64</v>
      </c>
      <c r="R314" s="174">
        <v>0</v>
      </c>
      <c r="S314" s="175">
        <v>24.057929999999999</v>
      </c>
      <c r="T314" s="175"/>
      <c r="U314" s="191">
        <f>PAProjects[[#This Row],[GOU 21/22]]+PAProjects[[#This Row],[DONOR 21/22]]</f>
        <v>24.057929999999999</v>
      </c>
      <c r="V314" s="175">
        <v>14.958</v>
      </c>
      <c r="W314" s="175"/>
      <c r="X314" s="191">
        <f>PAProjects[[#This Row],[GOU 22/23]]+PAProjects[[#This Row],[DONOR 22/23]]</f>
        <v>14.958</v>
      </c>
      <c r="Y314" s="175">
        <v>14.958</v>
      </c>
      <c r="Z314" s="175"/>
      <c r="AA314" s="175">
        <f t="shared" si="54"/>
        <v>14.958</v>
      </c>
      <c r="AB314" s="175"/>
      <c r="AC314" s="175"/>
      <c r="AD314" s="191">
        <f>PAProjects[[#This Row],[GOU 24/25]]+PAProjects[[#This Row],[DONOR 24/25]]</f>
        <v>0</v>
      </c>
    </row>
    <row r="315" spans="1:30" ht="15" customHeight="1" x14ac:dyDescent="0.25">
      <c r="A315" s="180" t="s">
        <v>312</v>
      </c>
      <c r="B315" s="175" t="s">
        <v>1464</v>
      </c>
      <c r="C315" s="175" t="e">
        <f ca="1">PAProjects[[#This Row],[LINKING_CODE]]=_xlfn.CONCAT(PAProjects[[#This Row],[Project Code]]," ",PAProjects[[#This Row],[Project Name]])</f>
        <v>#NAME?</v>
      </c>
      <c r="D315" s="175" t="e">
        <f>VLOOKUP(PAProjects[[#This Row],[LINKING_CODE]],MasterTable[[Project Code and Name ]],1,FALSE)</f>
        <v>#N/A</v>
      </c>
      <c r="E315" s="175" t="s">
        <v>522</v>
      </c>
      <c r="F315" s="175" t="s">
        <v>1173</v>
      </c>
      <c r="G315" s="175" t="s">
        <v>68</v>
      </c>
      <c r="H315" s="175" t="str">
        <f>VLOOKUP(I315,'Program Codes'!C:D,2,FALSE)</f>
        <v>18</v>
      </c>
      <c r="I315" s="175" t="s">
        <v>1272</v>
      </c>
      <c r="J315" s="175" t="s">
        <v>784</v>
      </c>
      <c r="K315" s="175" t="s">
        <v>785</v>
      </c>
      <c r="L315" s="175" t="s">
        <v>1509</v>
      </c>
      <c r="M315" s="182">
        <v>43647</v>
      </c>
      <c r="N315" s="182">
        <v>44742</v>
      </c>
      <c r="O315" s="183">
        <v>25.058</v>
      </c>
      <c r="P315" s="184">
        <v>225.74799999999999</v>
      </c>
      <c r="Q315" s="174">
        <f t="shared" si="55"/>
        <v>250.80599999999998</v>
      </c>
      <c r="R315" s="174">
        <v>0</v>
      </c>
      <c r="S315" s="175">
        <v>6.0118</v>
      </c>
      <c r="T315" s="175">
        <v>25.94</v>
      </c>
      <c r="U315" s="191">
        <f>PAProjects[[#This Row],[GOU 21/22]]+PAProjects[[#This Row],[DONOR 21/22]]</f>
        <v>31.951800000000002</v>
      </c>
      <c r="V315" s="175">
        <v>31.952000000000002</v>
      </c>
      <c r="W315" s="175"/>
      <c r="X315" s="191">
        <f>PAProjects[[#This Row],[GOU 22/23]]+PAProjects[[#This Row],[DONOR 22/23]]</f>
        <v>31.952000000000002</v>
      </c>
      <c r="Y315" s="175">
        <v>31.952000000000002</v>
      </c>
      <c r="Z315" s="175"/>
      <c r="AA315" s="175">
        <f t="shared" si="54"/>
        <v>31.952000000000002</v>
      </c>
      <c r="AB315" s="175"/>
      <c r="AC315" s="175"/>
      <c r="AD315" s="191">
        <f>PAProjects[[#This Row],[GOU 24/25]]+PAProjects[[#This Row],[DONOR 24/25]]</f>
        <v>0</v>
      </c>
    </row>
    <row r="316" spans="1:30" ht="15" customHeight="1" x14ac:dyDescent="0.25">
      <c r="A316" s="180" t="s">
        <v>313</v>
      </c>
      <c r="B316" s="175" t="s">
        <v>1465</v>
      </c>
      <c r="C316" s="175" t="e">
        <f ca="1">PAProjects[[#This Row],[LINKING_CODE]]=_xlfn.CONCAT(PAProjects[[#This Row],[Project Code]]," ",PAProjects[[#This Row],[Project Name]])</f>
        <v>#NAME?</v>
      </c>
      <c r="D316" s="175" t="e">
        <f>VLOOKUP(PAProjects[[#This Row],[LINKING_CODE]],MasterTable[[Project Code and Name ]],1,FALSE)</f>
        <v>#N/A</v>
      </c>
      <c r="E316" s="175" t="s">
        <v>522</v>
      </c>
      <c r="F316" s="175" t="s">
        <v>1173</v>
      </c>
      <c r="G316" s="175" t="s">
        <v>68</v>
      </c>
      <c r="H316" s="175" t="str">
        <f>VLOOKUP(I316,'Program Codes'!C:D,2,FALSE)</f>
        <v>18</v>
      </c>
      <c r="I316" s="175" t="s">
        <v>1272</v>
      </c>
      <c r="J316" s="175" t="s">
        <v>786</v>
      </c>
      <c r="K316" s="175" t="s">
        <v>787</v>
      </c>
      <c r="L316" s="175" t="s">
        <v>1509</v>
      </c>
      <c r="M316" s="182">
        <v>43647</v>
      </c>
      <c r="N316" s="182">
        <v>44742</v>
      </c>
      <c r="O316" s="183">
        <v>29.704000000000001</v>
      </c>
      <c r="P316" s="184">
        <v>1132.4649999999999</v>
      </c>
      <c r="Q316" s="174">
        <f t="shared" si="55"/>
        <v>1162.1689999999999</v>
      </c>
      <c r="R316" s="174">
        <v>0</v>
      </c>
      <c r="S316" s="175">
        <v>2.2309999999999999</v>
      </c>
      <c r="T316" s="175">
        <v>188.43576694999999</v>
      </c>
      <c r="U316" s="191">
        <f>PAProjects[[#This Row],[GOU 21/22]]+PAProjects[[#This Row],[DONOR 21/22]]</f>
        <v>190.66676694999998</v>
      </c>
      <c r="V316" s="175">
        <v>54.866999999999997</v>
      </c>
      <c r="W316" s="175"/>
      <c r="X316" s="191">
        <f>PAProjects[[#This Row],[GOU 22/23]]+PAProjects[[#This Row],[DONOR 22/23]]</f>
        <v>54.866999999999997</v>
      </c>
      <c r="Y316" s="175">
        <v>54.866999999999997</v>
      </c>
      <c r="Z316" s="175"/>
      <c r="AA316" s="175">
        <f t="shared" si="54"/>
        <v>54.866999999999997</v>
      </c>
      <c r="AB316" s="175"/>
      <c r="AC316" s="175"/>
      <c r="AD316" s="191">
        <f>PAProjects[[#This Row],[GOU 24/25]]+PAProjects[[#This Row],[DONOR 24/25]]</f>
        <v>0</v>
      </c>
    </row>
    <row r="317" spans="1:30" ht="15" customHeight="1" x14ac:dyDescent="0.25">
      <c r="A317" s="180" t="s">
        <v>314</v>
      </c>
      <c r="B317" s="175" t="s">
        <v>1466</v>
      </c>
      <c r="C317" s="175" t="e">
        <f ca="1">PAProjects[[#This Row],[LINKING_CODE]]=_xlfn.CONCAT(PAProjects[[#This Row],[Project Code]]," ",PAProjects[[#This Row],[Project Name]])</f>
        <v>#NAME?</v>
      </c>
      <c r="D317" s="175" t="e">
        <f>VLOOKUP(PAProjects[[#This Row],[LINKING_CODE]],MasterTable[[Project Code and Name ]],1,FALSE)</f>
        <v>#N/A</v>
      </c>
      <c r="E317" s="175" t="s">
        <v>522</v>
      </c>
      <c r="F317" s="175" t="s">
        <v>1173</v>
      </c>
      <c r="G317" s="175" t="s">
        <v>68</v>
      </c>
      <c r="H317" s="175" t="str">
        <f>VLOOKUP(I317,'Program Codes'!C:D,2,FALSE)</f>
        <v>18</v>
      </c>
      <c r="I317" s="175" t="s">
        <v>1272</v>
      </c>
      <c r="J317" s="175" t="s">
        <v>788</v>
      </c>
      <c r="K317" s="175" t="s">
        <v>789</v>
      </c>
      <c r="L317" s="175" t="s">
        <v>1509</v>
      </c>
      <c r="M317" s="182">
        <v>43647</v>
      </c>
      <c r="N317" s="182">
        <v>44742</v>
      </c>
      <c r="O317" s="183"/>
      <c r="P317" s="220">
        <v>519937</v>
      </c>
      <c r="Q317" s="174">
        <f t="shared" si="55"/>
        <v>519937</v>
      </c>
      <c r="R317" s="174">
        <v>0</v>
      </c>
      <c r="S317" s="175"/>
      <c r="T317" s="175">
        <v>146</v>
      </c>
      <c r="U317" s="191">
        <f>PAProjects[[#This Row],[GOU 21/22]]+PAProjects[[#This Row],[DONOR 21/22]]</f>
        <v>146</v>
      </c>
      <c r="V317" s="175">
        <v>146</v>
      </c>
      <c r="W317" s="175"/>
      <c r="X317" s="191">
        <f>PAProjects[[#This Row],[GOU 22/23]]+PAProjects[[#This Row],[DONOR 22/23]]</f>
        <v>146</v>
      </c>
      <c r="Y317" s="175">
        <v>146</v>
      </c>
      <c r="Z317" s="175"/>
      <c r="AA317" s="175">
        <f t="shared" si="54"/>
        <v>146</v>
      </c>
      <c r="AB317" s="175"/>
      <c r="AC317" s="175"/>
      <c r="AD317" s="191">
        <f>PAProjects[[#This Row],[GOU 24/25]]+PAProjects[[#This Row],[DONOR 24/25]]</f>
        <v>0</v>
      </c>
    </row>
    <row r="318" spans="1:30" ht="15" customHeight="1" x14ac:dyDescent="0.25">
      <c r="A318" s="180" t="s">
        <v>315</v>
      </c>
      <c r="B318" s="175" t="s">
        <v>1467</v>
      </c>
      <c r="C318" s="175" t="e">
        <f ca="1">PAProjects[[#This Row],[LINKING_CODE]]=_xlfn.CONCAT(PAProjects[[#This Row],[Project Code]]," ",PAProjects[[#This Row],[Project Name]])</f>
        <v>#NAME?</v>
      </c>
      <c r="D318" s="175" t="e">
        <f>VLOOKUP(PAProjects[[#This Row],[LINKING_CODE]],MasterTable[[Project Code and Name ]],1,FALSE)</f>
        <v>#N/A</v>
      </c>
      <c r="E318" s="175" t="s">
        <v>522</v>
      </c>
      <c r="F318" s="175" t="s">
        <v>1173</v>
      </c>
      <c r="G318" s="175" t="s">
        <v>68</v>
      </c>
      <c r="H318" s="175" t="str">
        <f>VLOOKUP(I318,'Program Codes'!C:D,2,FALSE)</f>
        <v>18</v>
      </c>
      <c r="I318" s="175" t="s">
        <v>1272</v>
      </c>
      <c r="J318" s="175" t="s">
        <v>790</v>
      </c>
      <c r="K318" s="175" t="s">
        <v>1276</v>
      </c>
      <c r="L318" s="175" t="s">
        <v>1509</v>
      </c>
      <c r="M318" s="182">
        <v>43647</v>
      </c>
      <c r="N318" s="182">
        <v>44742</v>
      </c>
      <c r="O318" s="183">
        <v>335.05200000000002</v>
      </c>
      <c r="P318" s="174"/>
      <c r="Q318" s="174">
        <f t="shared" si="55"/>
        <v>335.05200000000002</v>
      </c>
      <c r="R318" s="174">
        <v>0</v>
      </c>
      <c r="S318" s="175">
        <v>26.006429376</v>
      </c>
      <c r="T318" s="175"/>
      <c r="U318" s="191">
        <f>PAProjects[[#This Row],[GOU 21/22]]+PAProjects[[#This Row],[DONOR 21/22]]</f>
        <v>26.006429376</v>
      </c>
      <c r="V318" s="175">
        <v>28.006</v>
      </c>
      <c r="W318" s="175"/>
      <c r="X318" s="191">
        <f>PAProjects[[#This Row],[GOU 22/23]]+PAProjects[[#This Row],[DONOR 22/23]]</f>
        <v>28.006</v>
      </c>
      <c r="Y318" s="175">
        <v>28.006</v>
      </c>
      <c r="Z318" s="175"/>
      <c r="AA318" s="175">
        <f t="shared" si="54"/>
        <v>28.006</v>
      </c>
      <c r="AB318" s="175"/>
      <c r="AC318" s="175"/>
      <c r="AD318" s="191">
        <f>PAProjects[[#This Row],[GOU 24/25]]+PAProjects[[#This Row],[DONOR 24/25]]</f>
        <v>0</v>
      </c>
    </row>
    <row r="319" spans="1:30" ht="15" customHeight="1" x14ac:dyDescent="0.25">
      <c r="A319" s="180" t="s">
        <v>316</v>
      </c>
      <c r="B319" s="175" t="s">
        <v>1468</v>
      </c>
      <c r="C319" s="175" t="e">
        <f ca="1">PAProjects[[#This Row],[LINKING_CODE]]=_xlfn.CONCAT(PAProjects[[#This Row],[Project Code]]," ",PAProjects[[#This Row],[Project Name]])</f>
        <v>#NAME?</v>
      </c>
      <c r="D319" s="175" t="e">
        <f>VLOOKUP(PAProjects[[#This Row],[LINKING_CODE]],MasterTable[[Project Code and Name ]],1,FALSE)</f>
        <v>#N/A</v>
      </c>
      <c r="E319" s="175" t="s">
        <v>522</v>
      </c>
      <c r="F319" s="175" t="s">
        <v>1173</v>
      </c>
      <c r="G319" s="175" t="s">
        <v>68</v>
      </c>
      <c r="H319" s="175" t="str">
        <f>VLOOKUP(I319,'Program Codes'!C:D,2,FALSE)</f>
        <v>18</v>
      </c>
      <c r="I319" s="175" t="s">
        <v>1272</v>
      </c>
      <c r="J319" s="175" t="s">
        <v>791</v>
      </c>
      <c r="K319" s="175" t="s">
        <v>792</v>
      </c>
      <c r="L319" s="175" t="s">
        <v>1509</v>
      </c>
      <c r="M319" s="182">
        <v>43647</v>
      </c>
      <c r="N319" s="182">
        <v>44742</v>
      </c>
      <c r="O319" s="183">
        <v>154.69999999999999</v>
      </c>
      <c r="P319" s="174"/>
      <c r="Q319" s="174">
        <f t="shared" si="55"/>
        <v>154.69999999999999</v>
      </c>
      <c r="R319" s="174">
        <v>0</v>
      </c>
      <c r="S319" s="175">
        <v>13.015879999999999</v>
      </c>
      <c r="T319" s="175"/>
      <c r="U319" s="191">
        <f>PAProjects[[#This Row],[GOU 21/22]]+PAProjects[[#This Row],[DONOR 21/22]]</f>
        <v>13.015879999999999</v>
      </c>
      <c r="V319" s="175">
        <v>13.015879999999999</v>
      </c>
      <c r="W319" s="175"/>
      <c r="X319" s="191">
        <f>PAProjects[[#This Row],[GOU 22/23]]+PAProjects[[#This Row],[DONOR 22/23]]</f>
        <v>13.015879999999999</v>
      </c>
      <c r="Y319" s="175">
        <v>13.015879999999999</v>
      </c>
      <c r="Z319" s="175"/>
      <c r="AA319" s="175">
        <f t="shared" si="54"/>
        <v>13.015879999999999</v>
      </c>
      <c r="AB319" s="175">
        <v>13.015879999999999</v>
      </c>
      <c r="AC319" s="175"/>
      <c r="AD319" s="191">
        <f>PAProjects[[#This Row],[GOU 24/25]]+PAProjects[[#This Row],[DONOR 24/25]]</f>
        <v>13.015879999999999</v>
      </c>
    </row>
    <row r="320" spans="1:30" ht="15" customHeight="1" x14ac:dyDescent="0.25">
      <c r="A320" s="180" t="s">
        <v>317</v>
      </c>
      <c r="B320" s="175" t="s">
        <v>1469</v>
      </c>
      <c r="C320" s="175" t="e">
        <f ca="1">PAProjects[[#This Row],[LINKING_CODE]]=_xlfn.CONCAT(PAProjects[[#This Row],[Project Code]]," ",PAProjects[[#This Row],[Project Name]])</f>
        <v>#NAME?</v>
      </c>
      <c r="D320" s="175" t="e">
        <f>VLOOKUP(PAProjects[[#This Row],[LINKING_CODE]],MasterTable[[Project Code and Name ]],1,FALSE)</f>
        <v>#N/A</v>
      </c>
      <c r="E320" s="175" t="s">
        <v>522</v>
      </c>
      <c r="F320" s="175" t="s">
        <v>1173</v>
      </c>
      <c r="G320" s="175" t="s">
        <v>68</v>
      </c>
      <c r="H320" s="175" t="str">
        <f>VLOOKUP(I320,'Program Codes'!C:D,2,FALSE)</f>
        <v>18</v>
      </c>
      <c r="I320" s="175" t="s">
        <v>1272</v>
      </c>
      <c r="J320" s="175" t="s">
        <v>793</v>
      </c>
      <c r="K320" s="175" t="s">
        <v>794</v>
      </c>
      <c r="L320" s="175" t="s">
        <v>1509</v>
      </c>
      <c r="M320" s="182">
        <v>43647</v>
      </c>
      <c r="N320" s="182">
        <v>44742</v>
      </c>
      <c r="O320" s="183">
        <v>69.099999999999994</v>
      </c>
      <c r="P320" s="184">
        <v>119.46</v>
      </c>
      <c r="Q320" s="174">
        <f t="shared" si="55"/>
        <v>188.56</v>
      </c>
      <c r="R320" s="174">
        <v>0</v>
      </c>
      <c r="S320" s="175">
        <v>10.528819165</v>
      </c>
      <c r="T320" s="175">
        <v>16.5</v>
      </c>
      <c r="U320" s="191">
        <f>PAProjects[[#This Row],[GOU 21/22]]+PAProjects[[#This Row],[DONOR 21/22]]</f>
        <v>27.028819165000002</v>
      </c>
      <c r="V320" s="175">
        <v>10.528819165</v>
      </c>
      <c r="W320" s="175"/>
      <c r="X320" s="191">
        <f>PAProjects[[#This Row],[GOU 22/23]]+PAProjects[[#This Row],[DONOR 22/23]]</f>
        <v>10.528819165</v>
      </c>
      <c r="Y320" s="175">
        <v>10.528819165</v>
      </c>
      <c r="Z320" s="175"/>
      <c r="AA320" s="175">
        <f t="shared" si="54"/>
        <v>10.528819165</v>
      </c>
      <c r="AB320" s="175">
        <v>10.528819165</v>
      </c>
      <c r="AC320" s="175"/>
      <c r="AD320" s="191">
        <f>PAProjects[[#This Row],[GOU 24/25]]+PAProjects[[#This Row],[DONOR 24/25]]</f>
        <v>10.528819165</v>
      </c>
    </row>
    <row r="321" spans="1:30" ht="15" customHeight="1" x14ac:dyDescent="0.25">
      <c r="A321" s="180" t="s">
        <v>318</v>
      </c>
      <c r="B321" s="175" t="s">
        <v>1470</v>
      </c>
      <c r="C321" s="175" t="e">
        <f ca="1">PAProjects[[#This Row],[LINKING_CODE]]=_xlfn.CONCAT(PAProjects[[#This Row],[Project Code]]," ",PAProjects[[#This Row],[Project Name]])</f>
        <v>#NAME?</v>
      </c>
      <c r="D321" s="175" t="e">
        <f>VLOOKUP(PAProjects[[#This Row],[LINKING_CODE]],MasterTable[[Project Code and Name ]],1,FALSE)</f>
        <v>#N/A</v>
      </c>
      <c r="E321" s="175" t="s">
        <v>522</v>
      </c>
      <c r="F321" s="175" t="s">
        <v>1173</v>
      </c>
      <c r="G321" s="175" t="s">
        <v>68</v>
      </c>
      <c r="H321" s="175" t="str">
        <f>VLOOKUP(I321,'Program Codes'!C:D,2,FALSE)</f>
        <v>18</v>
      </c>
      <c r="I321" s="175" t="s">
        <v>1272</v>
      </c>
      <c r="J321" s="175" t="s">
        <v>1277</v>
      </c>
      <c r="K321" s="175" t="s">
        <v>1278</v>
      </c>
      <c r="L321" s="175" t="s">
        <v>1509</v>
      </c>
      <c r="M321" s="182">
        <v>43647</v>
      </c>
      <c r="N321" s="182">
        <v>44742</v>
      </c>
      <c r="O321" s="175">
        <v>113.56</v>
      </c>
      <c r="P321" s="174"/>
      <c r="Q321" s="174">
        <f t="shared" si="55"/>
        <v>113.56</v>
      </c>
      <c r="R321" s="174">
        <v>0</v>
      </c>
      <c r="S321" s="175">
        <v>5.4952740220000003</v>
      </c>
      <c r="T321" s="175">
        <v>25.2</v>
      </c>
      <c r="U321" s="191">
        <f>PAProjects[[#This Row],[GOU 21/22]]+PAProjects[[#This Row],[DONOR 21/22]]</f>
        <v>30.695274022</v>
      </c>
      <c r="V321" s="175">
        <v>30.695</v>
      </c>
      <c r="W321" s="175"/>
      <c r="X321" s="191">
        <f>PAProjects[[#This Row],[GOU 22/23]]+PAProjects[[#This Row],[DONOR 22/23]]</f>
        <v>30.695</v>
      </c>
      <c r="Y321" s="175">
        <v>30.695</v>
      </c>
      <c r="Z321" s="175"/>
      <c r="AA321" s="175">
        <f t="shared" si="54"/>
        <v>30.695</v>
      </c>
      <c r="AB321" s="175">
        <v>10.529</v>
      </c>
      <c r="AC321" s="175"/>
      <c r="AD321" s="191">
        <f>PAProjects[[#This Row],[GOU 24/25]]+PAProjects[[#This Row],[DONOR 24/25]]</f>
        <v>10.529</v>
      </c>
    </row>
    <row r="322" spans="1:30" ht="15" customHeight="1" x14ac:dyDescent="0.25">
      <c r="A322" s="180" t="s">
        <v>319</v>
      </c>
      <c r="B322" s="175" t="s">
        <v>1471</v>
      </c>
      <c r="C322" s="175" t="e">
        <f ca="1">PAProjects[[#This Row],[LINKING_CODE]]=_xlfn.CONCAT(PAProjects[[#This Row],[Project Code]]," ",PAProjects[[#This Row],[Project Name]])</f>
        <v>#NAME?</v>
      </c>
      <c r="D322" s="175" t="e">
        <f>VLOOKUP(PAProjects[[#This Row],[LINKING_CODE]],MasterTable[[Project Code and Name ]],1,FALSE)</f>
        <v>#N/A</v>
      </c>
      <c r="E322" s="175" t="s">
        <v>522</v>
      </c>
      <c r="F322" s="175" t="s">
        <v>1173</v>
      </c>
      <c r="G322" s="175" t="s">
        <v>68</v>
      </c>
      <c r="H322" s="175" t="str">
        <f>VLOOKUP(I322,'Program Codes'!C:D,2,FALSE)</f>
        <v>18</v>
      </c>
      <c r="I322" s="175" t="s">
        <v>1272</v>
      </c>
      <c r="J322" s="175" t="s">
        <v>1279</v>
      </c>
      <c r="K322" s="175" t="s">
        <v>795</v>
      </c>
      <c r="L322" s="175" t="s">
        <v>1509</v>
      </c>
      <c r="M322" s="182">
        <v>43837</v>
      </c>
      <c r="N322" s="182">
        <v>44742</v>
      </c>
      <c r="O322" s="183">
        <v>31.739498565000002</v>
      </c>
      <c r="P322" s="174">
        <v>84.751665059999993</v>
      </c>
      <c r="Q322" s="174">
        <f t="shared" si="55"/>
        <v>116.491163625</v>
      </c>
      <c r="R322" s="174">
        <v>0</v>
      </c>
      <c r="S322" s="175">
        <v>1.25</v>
      </c>
      <c r="T322" s="175"/>
      <c r="U322" s="191">
        <f>PAProjects[[#This Row],[GOU 21/22]]+PAProjects[[#This Row],[DONOR 21/22]]</f>
        <v>1.25</v>
      </c>
      <c r="V322" s="175">
        <v>1.25</v>
      </c>
      <c r="W322" s="175"/>
      <c r="X322" s="191">
        <f>PAProjects[[#This Row],[GOU 22/23]]+PAProjects[[#This Row],[DONOR 22/23]]</f>
        <v>1.25</v>
      </c>
      <c r="Y322" s="175">
        <v>1.25</v>
      </c>
      <c r="Z322" s="175"/>
      <c r="AA322" s="175">
        <f t="shared" si="54"/>
        <v>1.25</v>
      </c>
      <c r="AB322" s="175">
        <v>1.25</v>
      </c>
      <c r="AC322" s="175"/>
      <c r="AD322" s="191">
        <f>PAProjects[[#This Row],[GOU 24/25]]+PAProjects[[#This Row],[DONOR 24/25]]</f>
        <v>1.25</v>
      </c>
    </row>
    <row r="323" spans="1:30" ht="15" customHeight="1" x14ac:dyDescent="0.25">
      <c r="A323" s="180" t="s">
        <v>320</v>
      </c>
      <c r="B323" s="175" t="s">
        <v>1472</v>
      </c>
      <c r="C323" s="175" t="e">
        <f ca="1">PAProjects[[#This Row],[LINKING_CODE]]=_xlfn.CONCAT(PAProjects[[#This Row],[Project Code]]," ",PAProjects[[#This Row],[Project Name]])</f>
        <v>#NAME?</v>
      </c>
      <c r="D323" s="175" t="e">
        <f>VLOOKUP(PAProjects[[#This Row],[LINKING_CODE]],MasterTable[[Project Code and Name ]],1,FALSE)</f>
        <v>#N/A</v>
      </c>
      <c r="E323" s="175" t="s">
        <v>522</v>
      </c>
      <c r="F323" s="175" t="s">
        <v>1173</v>
      </c>
      <c r="G323" s="175" t="s">
        <v>68</v>
      </c>
      <c r="H323" s="175" t="str">
        <f>VLOOKUP(I323,'Program Codes'!C:D,2,FALSE)</f>
        <v>18</v>
      </c>
      <c r="I323" s="175" t="s">
        <v>1272</v>
      </c>
      <c r="J323" s="175" t="s">
        <v>1280</v>
      </c>
      <c r="K323" s="175" t="s">
        <v>796</v>
      </c>
      <c r="L323" s="175" t="s">
        <v>1509</v>
      </c>
      <c r="M323" s="182">
        <v>44013</v>
      </c>
      <c r="N323" s="182">
        <v>44742</v>
      </c>
      <c r="O323" s="183">
        <v>122</v>
      </c>
      <c r="P323" s="184">
        <v>664</v>
      </c>
      <c r="Q323" s="174">
        <f t="shared" si="55"/>
        <v>786</v>
      </c>
      <c r="R323" s="174">
        <v>0</v>
      </c>
      <c r="S323" s="175">
        <v>12.614723740000001</v>
      </c>
      <c r="T323" s="175">
        <v>61.49</v>
      </c>
      <c r="U323" s="191">
        <f>PAProjects[[#This Row],[GOU 21/22]]+PAProjects[[#This Row],[DONOR 21/22]]</f>
        <v>74.104723739999997</v>
      </c>
      <c r="V323" s="175">
        <v>19.106932301000001</v>
      </c>
      <c r="W323" s="175"/>
      <c r="X323" s="191">
        <f>PAProjects[[#This Row],[GOU 22/23]]+PAProjects[[#This Row],[DONOR 22/23]]</f>
        <v>19.106932301000001</v>
      </c>
      <c r="Y323" s="175">
        <v>21.972972146</v>
      </c>
      <c r="Z323" s="175"/>
      <c r="AA323" s="175">
        <f t="shared" si="54"/>
        <v>21.972972146</v>
      </c>
      <c r="AB323" s="175">
        <v>25.268917968</v>
      </c>
      <c r="AC323" s="175"/>
      <c r="AD323" s="191">
        <f>PAProjects[[#This Row],[GOU 24/25]]+PAProjects[[#This Row],[DONOR 24/25]]</f>
        <v>25.268917968</v>
      </c>
    </row>
    <row r="324" spans="1:30" ht="15" customHeight="1" x14ac:dyDescent="0.25">
      <c r="A324" s="180" t="s">
        <v>321</v>
      </c>
      <c r="B324" s="175" t="s">
        <v>1473</v>
      </c>
      <c r="C324" s="175" t="e">
        <f ca="1">PAProjects[[#This Row],[LINKING_CODE]]=_xlfn.CONCAT(PAProjects[[#This Row],[Project Code]]," ",PAProjects[[#This Row],[Project Name]])</f>
        <v>#NAME?</v>
      </c>
      <c r="D324" s="175" t="e">
        <f>VLOOKUP(PAProjects[[#This Row],[LINKING_CODE]],MasterTable[[Project Code and Name ]],1,FALSE)</f>
        <v>#N/A</v>
      </c>
      <c r="E324" s="175" t="s">
        <v>522</v>
      </c>
      <c r="F324" s="175" t="s">
        <v>1173</v>
      </c>
      <c r="G324" s="175" t="s">
        <v>68</v>
      </c>
      <c r="H324" s="175" t="str">
        <f>VLOOKUP(I324,'Program Codes'!C:D,2,FALSE)</f>
        <v>18</v>
      </c>
      <c r="I324" s="175" t="s">
        <v>1272</v>
      </c>
      <c r="J324" s="175" t="s">
        <v>1281</v>
      </c>
      <c r="K324" s="175" t="s">
        <v>797</v>
      </c>
      <c r="L324" s="175" t="s">
        <v>1509</v>
      </c>
      <c r="M324" s="182">
        <v>44013</v>
      </c>
      <c r="N324" s="182">
        <v>44742</v>
      </c>
      <c r="O324" s="183">
        <v>105</v>
      </c>
      <c r="P324" s="184">
        <v>1806</v>
      </c>
      <c r="Q324" s="174">
        <f t="shared" si="55"/>
        <v>1911</v>
      </c>
      <c r="R324" s="174">
        <v>0</v>
      </c>
      <c r="S324" s="175">
        <v>36.758252941000002</v>
      </c>
      <c r="T324" s="175">
        <v>70</v>
      </c>
      <c r="U324" s="191">
        <f>PAProjects[[#This Row],[GOU 21/22]]+PAProjects[[#This Row],[DONOR 21/22]]</f>
        <v>106.75825294099999</v>
      </c>
      <c r="V324" s="175">
        <v>80.757999999999996</v>
      </c>
      <c r="W324" s="175"/>
      <c r="X324" s="191">
        <f>PAProjects[[#This Row],[GOU 22/23]]+PAProjects[[#This Row],[DONOR 22/23]]</f>
        <v>80.757999999999996</v>
      </c>
      <c r="Y324" s="175">
        <v>80.757999999999996</v>
      </c>
      <c r="Z324" s="175"/>
      <c r="AA324" s="175">
        <f t="shared" si="54"/>
        <v>80.757999999999996</v>
      </c>
      <c r="AB324" s="175">
        <v>80.757999999999996</v>
      </c>
      <c r="AC324" s="175"/>
      <c r="AD324" s="191">
        <f>PAProjects[[#This Row],[GOU 24/25]]+PAProjects[[#This Row],[DONOR 24/25]]</f>
        <v>80.757999999999996</v>
      </c>
    </row>
    <row r="325" spans="1:30" ht="15" customHeight="1" x14ac:dyDescent="0.25">
      <c r="A325" s="180" t="s">
        <v>322</v>
      </c>
      <c r="B325" s="175" t="s">
        <v>1474</v>
      </c>
      <c r="C325" s="175" t="e">
        <f ca="1">PAProjects[[#This Row],[LINKING_CODE]]=_xlfn.CONCAT(PAProjects[[#This Row],[Project Code]]," ",PAProjects[[#This Row],[Project Name]])</f>
        <v>#NAME?</v>
      </c>
      <c r="D325" s="175" t="e">
        <f>VLOOKUP(PAProjects[[#This Row],[LINKING_CODE]],MasterTable[[Project Code and Name ]],1,FALSE)</f>
        <v>#N/A</v>
      </c>
      <c r="E325" s="175" t="s">
        <v>522</v>
      </c>
      <c r="F325" s="175" t="s">
        <v>1173</v>
      </c>
      <c r="G325" s="175" t="s">
        <v>68</v>
      </c>
      <c r="H325" s="175" t="str">
        <f>VLOOKUP(I325,'Program Codes'!C:D,2,FALSE)</f>
        <v>18</v>
      </c>
      <c r="I325" s="175" t="s">
        <v>1272</v>
      </c>
      <c r="J325" s="175" t="s">
        <v>1282</v>
      </c>
      <c r="K325" s="175" t="s">
        <v>800</v>
      </c>
      <c r="L325" s="175" t="s">
        <v>1509</v>
      </c>
      <c r="M325" s="182">
        <v>44013</v>
      </c>
      <c r="N325" s="182">
        <v>44742</v>
      </c>
      <c r="O325" s="183">
        <v>42.940741752300006</v>
      </c>
      <c r="P325" s="174"/>
      <c r="Q325" s="174">
        <f t="shared" si="55"/>
        <v>42.940741752300006</v>
      </c>
      <c r="R325" s="174">
        <v>0</v>
      </c>
      <c r="S325" s="175">
        <v>5.3093000000000004</v>
      </c>
      <c r="T325" s="175"/>
      <c r="U325" s="191">
        <f>PAProjects[[#This Row],[GOU 21/22]]+PAProjects[[#This Row],[DONOR 21/22]]</f>
        <v>5.3093000000000004</v>
      </c>
      <c r="V325" s="175">
        <v>5.3093000000000004</v>
      </c>
      <c r="W325" s="175"/>
      <c r="X325" s="191">
        <f>PAProjects[[#This Row],[GOU 22/23]]+PAProjects[[#This Row],[DONOR 22/23]]</f>
        <v>5.3093000000000004</v>
      </c>
      <c r="Y325" s="175">
        <v>5.3093000000000004</v>
      </c>
      <c r="Z325" s="175"/>
      <c r="AA325" s="175">
        <f t="shared" si="54"/>
        <v>5.3093000000000004</v>
      </c>
      <c r="AB325" s="175">
        <v>5.3093000000000004</v>
      </c>
      <c r="AC325" s="175"/>
      <c r="AD325" s="191">
        <f>PAProjects[[#This Row],[GOU 24/25]]+PAProjects[[#This Row],[DONOR 24/25]]</f>
        <v>5.3093000000000004</v>
      </c>
    </row>
    <row r="326" spans="1:30" ht="15" customHeight="1" x14ac:dyDescent="0.25">
      <c r="A326" s="180" t="s">
        <v>323</v>
      </c>
      <c r="B326" s="175" t="s">
        <v>1475</v>
      </c>
      <c r="C326" s="175" t="e">
        <f ca="1">PAProjects[[#This Row],[LINKING_CODE]]=_xlfn.CONCAT(PAProjects[[#This Row],[Project Code]]," ",PAProjects[[#This Row],[Project Name]])</f>
        <v>#NAME?</v>
      </c>
      <c r="D326" s="175" t="e">
        <f>VLOOKUP(PAProjects[[#This Row],[LINKING_CODE]],MasterTable[[Project Code and Name ]],1,FALSE)</f>
        <v>#N/A</v>
      </c>
      <c r="E326" s="175" t="s">
        <v>522</v>
      </c>
      <c r="F326" s="175" t="s">
        <v>1173</v>
      </c>
      <c r="G326" s="175" t="s">
        <v>68</v>
      </c>
      <c r="H326" s="175" t="str">
        <f>VLOOKUP(I326,'Program Codes'!C:D,2,FALSE)</f>
        <v>18</v>
      </c>
      <c r="I326" s="175" t="s">
        <v>1272</v>
      </c>
      <c r="J326" s="175" t="s">
        <v>1283</v>
      </c>
      <c r="K326" s="175" t="s">
        <v>801</v>
      </c>
      <c r="L326" s="175" t="s">
        <v>1509</v>
      </c>
      <c r="M326" s="182">
        <v>44013</v>
      </c>
      <c r="N326" s="182">
        <v>44742</v>
      </c>
      <c r="O326" s="183">
        <v>8.5</v>
      </c>
      <c r="P326" s="174">
        <v>386.46667577070002</v>
      </c>
      <c r="Q326" s="174">
        <f t="shared" si="55"/>
        <v>394.96667577070002</v>
      </c>
      <c r="R326" s="174">
        <v>0</v>
      </c>
      <c r="S326" s="175">
        <v>8.0500000000000007</v>
      </c>
      <c r="T326" s="175">
        <v>56.25</v>
      </c>
      <c r="U326" s="191">
        <f>PAProjects[[#This Row],[GOU 21/22]]+PAProjects[[#This Row],[DONOR 21/22]]</f>
        <v>64.3</v>
      </c>
      <c r="V326" s="175">
        <v>64.3</v>
      </c>
      <c r="W326" s="175"/>
      <c r="X326" s="191">
        <f>PAProjects[[#This Row],[GOU 22/23]]+PAProjects[[#This Row],[DONOR 22/23]]</f>
        <v>64.3</v>
      </c>
      <c r="Y326" s="175">
        <v>64.3</v>
      </c>
      <c r="Z326" s="175"/>
      <c r="AA326" s="175">
        <f t="shared" si="54"/>
        <v>64.3</v>
      </c>
      <c r="AB326" s="175">
        <v>64.3</v>
      </c>
      <c r="AC326" s="175"/>
      <c r="AD326" s="191">
        <f>PAProjects[[#This Row],[GOU 24/25]]+PAProjects[[#This Row],[DONOR 24/25]]</f>
        <v>64.3</v>
      </c>
    </row>
    <row r="327" spans="1:30" ht="15" customHeight="1" x14ac:dyDescent="0.25">
      <c r="A327" s="180" t="s">
        <v>324</v>
      </c>
      <c r="B327" s="175" t="s">
        <v>1476</v>
      </c>
      <c r="C327" s="175" t="e">
        <f ca="1">PAProjects[[#This Row],[LINKING_CODE]]=_xlfn.CONCAT(PAProjects[[#This Row],[Project Code]]," ",PAProjects[[#This Row],[Project Name]])</f>
        <v>#NAME?</v>
      </c>
      <c r="D327" s="175" t="e">
        <f>VLOOKUP(PAProjects[[#This Row],[LINKING_CODE]],MasterTable[[Project Code and Name ]],1,FALSE)</f>
        <v>#N/A</v>
      </c>
      <c r="E327" s="175" t="s">
        <v>522</v>
      </c>
      <c r="F327" s="175" t="s">
        <v>1173</v>
      </c>
      <c r="G327" s="175" t="s">
        <v>68</v>
      </c>
      <c r="H327" s="175" t="str">
        <f>VLOOKUP(I327,'Program Codes'!C:D,2,FALSE)</f>
        <v>18</v>
      </c>
      <c r="I327" s="175" t="s">
        <v>1272</v>
      </c>
      <c r="J327" s="175" t="s">
        <v>1284</v>
      </c>
      <c r="K327" s="175" t="s">
        <v>802</v>
      </c>
      <c r="L327" s="175" t="s">
        <v>1509</v>
      </c>
      <c r="M327" s="182">
        <v>44013</v>
      </c>
      <c r="N327" s="182">
        <v>44742</v>
      </c>
      <c r="O327" s="183">
        <v>47.672480315000001</v>
      </c>
      <c r="P327" s="174">
        <v>304.7</v>
      </c>
      <c r="Q327" s="174">
        <f t="shared" si="55"/>
        <v>352.37248031499996</v>
      </c>
      <c r="R327" s="174">
        <v>0</v>
      </c>
      <c r="S327" s="175">
        <v>1</v>
      </c>
      <c r="T327" s="175">
        <v>5.45458</v>
      </c>
      <c r="U327" s="191">
        <f>PAProjects[[#This Row],[GOU 21/22]]+PAProjects[[#This Row],[DONOR 21/22]]</f>
        <v>6.45458</v>
      </c>
      <c r="V327" s="175">
        <v>1</v>
      </c>
      <c r="W327" s="175">
        <v>6.5027670000000004</v>
      </c>
      <c r="X327" s="191">
        <f>PAProjects[[#This Row],[GOU 22/23]]+PAProjects[[#This Row],[DONOR 22/23]]</f>
        <v>7.5027670000000004</v>
      </c>
      <c r="Y327" s="175">
        <v>1</v>
      </c>
      <c r="Z327" s="175">
        <v>7.47818205</v>
      </c>
      <c r="AA327" s="175">
        <f t="shared" si="54"/>
        <v>8.4781820500000009</v>
      </c>
      <c r="AB327" s="175">
        <v>1</v>
      </c>
      <c r="AC327" s="175">
        <v>8.5999093579999997</v>
      </c>
      <c r="AD327" s="191">
        <f>PAProjects[[#This Row],[GOU 24/25]]+PAProjects[[#This Row],[DONOR 24/25]]</f>
        <v>9.5999093579999997</v>
      </c>
    </row>
    <row r="328" spans="1:30" ht="15" customHeight="1" x14ac:dyDescent="0.25">
      <c r="A328" s="180" t="s">
        <v>325</v>
      </c>
      <c r="B328" s="175" t="s">
        <v>1477</v>
      </c>
      <c r="C328" s="175" t="e">
        <f ca="1">PAProjects[[#This Row],[LINKING_CODE]]=_xlfn.CONCAT(PAProjects[[#This Row],[Project Code]]," ",PAProjects[[#This Row],[Project Name]])</f>
        <v>#NAME?</v>
      </c>
      <c r="D328" s="175" t="e">
        <f>VLOOKUP(PAProjects[[#This Row],[LINKING_CODE]],MasterTable[[Project Code and Name ]],1,FALSE)</f>
        <v>#N/A</v>
      </c>
      <c r="E328" s="175" t="s">
        <v>522</v>
      </c>
      <c r="F328" s="175" t="s">
        <v>1173</v>
      </c>
      <c r="G328" s="175" t="s">
        <v>68</v>
      </c>
      <c r="H328" s="175" t="str">
        <f>VLOOKUP(I328,'Program Codes'!C:D,2,FALSE)</f>
        <v>18</v>
      </c>
      <c r="I328" s="175" t="s">
        <v>1272</v>
      </c>
      <c r="J328" s="175" t="s">
        <v>1285</v>
      </c>
      <c r="K328" s="175" t="s">
        <v>803</v>
      </c>
      <c r="L328" s="175" t="s">
        <v>1509</v>
      </c>
      <c r="M328" s="182">
        <v>44013</v>
      </c>
      <c r="N328" s="182">
        <v>44742</v>
      </c>
      <c r="O328" s="174"/>
      <c r="P328" s="174">
        <v>476.73</v>
      </c>
      <c r="Q328" s="174">
        <f t="shared" si="55"/>
        <v>476.73</v>
      </c>
      <c r="R328" s="174">
        <v>0</v>
      </c>
      <c r="S328" s="175">
        <v>0.62000012011050587</v>
      </c>
      <c r="T328" s="175">
        <v>0.93503499999999995</v>
      </c>
      <c r="U328" s="191">
        <f>PAProjects[[#This Row],[GOU 21/22]]+PAProjects[[#This Row],[DONOR 21/22]]</f>
        <v>1.5550351201105057</v>
      </c>
      <c r="V328" s="175">
        <v>121.04600000000001</v>
      </c>
      <c r="W328" s="175"/>
      <c r="X328" s="191">
        <f>PAProjects[[#This Row],[GOU 22/23]]+PAProjects[[#This Row],[DONOR 22/23]]</f>
        <v>121.04600000000001</v>
      </c>
      <c r="Y328" s="175"/>
      <c r="Z328" s="175">
        <v>121.04600000000001</v>
      </c>
      <c r="AA328" s="175">
        <f t="shared" si="54"/>
        <v>121.04600000000001</v>
      </c>
      <c r="AB328" s="175"/>
      <c r="AC328" s="175">
        <v>121.04600000000001</v>
      </c>
      <c r="AD328" s="191">
        <f>PAProjects[[#This Row],[GOU 24/25]]+PAProjects[[#This Row],[DONOR 24/25]]</f>
        <v>121.04600000000001</v>
      </c>
    </row>
    <row r="329" spans="1:30" ht="15" customHeight="1" x14ac:dyDescent="0.25">
      <c r="A329" s="180" t="s">
        <v>326</v>
      </c>
      <c r="B329" s="175" t="s">
        <v>1478</v>
      </c>
      <c r="C329" s="175" t="e">
        <f ca="1">PAProjects[[#This Row],[LINKING_CODE]]=_xlfn.CONCAT(PAProjects[[#This Row],[Project Code]]," ",PAProjects[[#This Row],[Project Name]])</f>
        <v>#NAME?</v>
      </c>
      <c r="D329" s="175" t="e">
        <f>VLOOKUP(PAProjects[[#This Row],[LINKING_CODE]],MasterTable[[Project Code and Name ]],1,FALSE)</f>
        <v>#N/A</v>
      </c>
      <c r="E329" s="175" t="s">
        <v>522</v>
      </c>
      <c r="F329" s="175" t="s">
        <v>1173</v>
      </c>
      <c r="G329" s="175" t="s">
        <v>68</v>
      </c>
      <c r="H329" s="175" t="str">
        <f>VLOOKUP(I329,'Program Codes'!C:D,2,FALSE)</f>
        <v>18</v>
      </c>
      <c r="I329" s="175" t="s">
        <v>1272</v>
      </c>
      <c r="J329" s="175" t="s">
        <v>1286</v>
      </c>
      <c r="K329" s="175" t="s">
        <v>1287</v>
      </c>
      <c r="L329" s="175" t="s">
        <v>1509</v>
      </c>
      <c r="M329" s="182">
        <v>44013</v>
      </c>
      <c r="N329" s="182">
        <v>44742</v>
      </c>
      <c r="O329" s="174">
        <v>14.45</v>
      </c>
      <c r="P329" s="174"/>
      <c r="Q329" s="174">
        <f t="shared" si="55"/>
        <v>14.45</v>
      </c>
      <c r="R329" s="174">
        <v>0</v>
      </c>
      <c r="S329" s="175">
        <v>2.8899999999999997</v>
      </c>
      <c r="T329" s="175"/>
      <c r="U329" s="191">
        <f>PAProjects[[#This Row],[GOU 21/22]]+PAProjects[[#This Row],[DONOR 21/22]]</f>
        <v>2.8899999999999997</v>
      </c>
      <c r="V329" s="175">
        <v>2.8899999999999997</v>
      </c>
      <c r="W329" s="175"/>
      <c r="X329" s="191">
        <f>PAProjects[[#This Row],[GOU 22/23]]+PAProjects[[#This Row],[DONOR 22/23]]</f>
        <v>2.8899999999999997</v>
      </c>
      <c r="Y329" s="175">
        <v>2.8899999999999997</v>
      </c>
      <c r="Z329" s="175"/>
      <c r="AA329" s="175">
        <f t="shared" si="54"/>
        <v>2.8899999999999997</v>
      </c>
      <c r="AB329" s="175">
        <v>2.8899999999999997</v>
      </c>
      <c r="AC329" s="175"/>
      <c r="AD329" s="191">
        <f>PAProjects[[#This Row],[GOU 24/25]]+PAProjects[[#This Row],[DONOR 24/25]]</f>
        <v>2.8899999999999997</v>
      </c>
    </row>
    <row r="330" spans="1:30" x14ac:dyDescent="0.25">
      <c r="A330" s="180" t="s">
        <v>327</v>
      </c>
      <c r="B330" s="221" t="s">
        <v>1879</v>
      </c>
      <c r="C330" s="221" t="e">
        <f ca="1">PAProjects[[#This Row],[LINKING_CODE]]=_xlfn.CONCAT(PAProjects[[#This Row],[Project Code]]," ",PAProjects[[#This Row],[Project Name]])</f>
        <v>#NAME?</v>
      </c>
      <c r="D330" s="221" t="e">
        <f>VLOOKUP(PAProjects[[#This Row],[LINKING_CODE]],MasterTable[[Project Code and Name ]],1,FALSE)</f>
        <v>#N/A</v>
      </c>
      <c r="E330" s="175" t="s">
        <v>534</v>
      </c>
      <c r="F330" s="175" t="s">
        <v>1218</v>
      </c>
      <c r="G330" s="222" t="s">
        <v>232</v>
      </c>
      <c r="H330" s="221" t="str">
        <f>VLOOKUP(I330,'Program Codes'!C:D,2,FALSE)</f>
        <v>13</v>
      </c>
      <c r="I330" s="175" t="s">
        <v>1113</v>
      </c>
      <c r="J330" s="223" t="s">
        <v>1794</v>
      </c>
      <c r="K330" s="222" t="s">
        <v>1751</v>
      </c>
      <c r="L330" s="221" t="str">
        <f t="shared" ref="L330:L372" si="56">IF(ISERROR(SEARCH("Retooling",K330))=FALSE,"Retooling","")</f>
        <v>Retooling</v>
      </c>
      <c r="M330" s="182">
        <v>44378</v>
      </c>
      <c r="N330" s="182">
        <v>45838</v>
      </c>
      <c r="O330" s="174">
        <v>1.1599999999999999</v>
      </c>
      <c r="P330" s="224">
        <v>0</v>
      </c>
      <c r="Q330" s="224">
        <f t="shared" ref="Q330:Q372" si="57">SUM(O330:P330)</f>
        <v>1.1599999999999999</v>
      </c>
      <c r="R330" s="225">
        <v>0</v>
      </c>
      <c r="S330" s="226">
        <v>0.32</v>
      </c>
      <c r="T330" s="226"/>
      <c r="U330" s="227">
        <f>PAProjects[[#This Row],[GOU 21/22]]+PAProjects[[#This Row],[DONOR 21/22]]</f>
        <v>0.32</v>
      </c>
      <c r="V330" s="222">
        <v>0.13</v>
      </c>
      <c r="W330" s="222"/>
      <c r="X330" s="227">
        <f>PAProjects[[#This Row],[GOU 22/23]]+PAProjects[[#This Row],[DONOR 22/23]]</f>
        <v>0.13</v>
      </c>
      <c r="Y330" s="228">
        <v>0.27</v>
      </c>
      <c r="Z330" s="222"/>
      <c r="AA330" s="229">
        <f t="shared" ref="AA330:AA372" si="58">Y330+Z330</f>
        <v>0.27</v>
      </c>
      <c r="AB330" s="229">
        <v>0.44</v>
      </c>
      <c r="AC330" s="222"/>
      <c r="AD330" s="227">
        <f>PAProjects[[#This Row],[GOU 24/25]]+PAProjects[[#This Row],[DONOR 24/25]]</f>
        <v>0.44</v>
      </c>
    </row>
    <row r="331" spans="1:30" x14ac:dyDescent="0.25">
      <c r="A331" s="180" t="s">
        <v>328</v>
      </c>
      <c r="B331" s="221" t="s">
        <v>1880</v>
      </c>
      <c r="C331" s="221" t="e">
        <f ca="1">PAProjects[[#This Row],[LINKING_CODE]]=_xlfn.CONCAT(PAProjects[[#This Row],[Project Code]]," ",PAProjects[[#This Row],[Project Name]])</f>
        <v>#NAME?</v>
      </c>
      <c r="D331" s="221" t="e">
        <f>VLOOKUP(PAProjects[[#This Row],[LINKING_CODE]],MasterTable[[Project Code and Name ]],1,FALSE)</f>
        <v>#N/A</v>
      </c>
      <c r="E331" s="175" t="s">
        <v>535</v>
      </c>
      <c r="F331" s="175" t="s">
        <v>1218</v>
      </c>
      <c r="G331" s="222" t="s">
        <v>229</v>
      </c>
      <c r="H331" s="221" t="str">
        <f>VLOOKUP(I331,'Program Codes'!C:D,2,FALSE)</f>
        <v>13</v>
      </c>
      <c r="I331" s="175" t="s">
        <v>1113</v>
      </c>
      <c r="J331" s="223" t="s">
        <v>1795</v>
      </c>
      <c r="K331" s="222" t="s">
        <v>1752</v>
      </c>
      <c r="L331" s="221" t="str">
        <f t="shared" si="56"/>
        <v>Retooling</v>
      </c>
      <c r="M331" s="182">
        <v>44378</v>
      </c>
      <c r="N331" s="182">
        <v>45838</v>
      </c>
      <c r="O331" s="174">
        <v>0.96</v>
      </c>
      <c r="P331" s="224">
        <v>0</v>
      </c>
      <c r="Q331" s="224">
        <f t="shared" si="57"/>
        <v>0.96</v>
      </c>
      <c r="R331" s="225">
        <v>0</v>
      </c>
      <c r="S331" s="226">
        <v>0.12</v>
      </c>
      <c r="T331" s="226"/>
      <c r="U331" s="227">
        <f>PAProjects[[#This Row],[GOU 21/22]]+PAProjects[[#This Row],[DONOR 21/22]]</f>
        <v>0.12</v>
      </c>
      <c r="V331" s="222">
        <v>0.13</v>
      </c>
      <c r="W331" s="222"/>
      <c r="X331" s="227">
        <f>PAProjects[[#This Row],[GOU 22/23]]+PAProjects[[#This Row],[DONOR 22/23]]</f>
        <v>0.13</v>
      </c>
      <c r="Y331" s="228">
        <v>0.27</v>
      </c>
      <c r="Z331" s="222"/>
      <c r="AA331" s="229">
        <f t="shared" si="58"/>
        <v>0.27</v>
      </c>
      <c r="AB331" s="229">
        <v>0.44</v>
      </c>
      <c r="AC331" s="222"/>
      <c r="AD331" s="227">
        <f>PAProjects[[#This Row],[GOU 24/25]]+PAProjects[[#This Row],[DONOR 24/25]]</f>
        <v>0.44</v>
      </c>
    </row>
    <row r="332" spans="1:30" x14ac:dyDescent="0.25">
      <c r="A332" s="180" t="s">
        <v>329</v>
      </c>
      <c r="B332" s="221" t="s">
        <v>1881</v>
      </c>
      <c r="C332" s="221" t="e">
        <f ca="1">PAProjects[[#This Row],[LINKING_CODE]]=_xlfn.CONCAT(PAProjects[[#This Row],[Project Code]]," ",PAProjects[[#This Row],[Project Name]])</f>
        <v>#NAME?</v>
      </c>
      <c r="D332" s="221" t="e">
        <f>VLOOKUP(PAProjects[[#This Row],[LINKING_CODE]],MasterTable[[Project Code and Name ]],1,FALSE)</f>
        <v>#N/A</v>
      </c>
      <c r="E332" s="175" t="s">
        <v>537</v>
      </c>
      <c r="F332" s="175" t="s">
        <v>1218</v>
      </c>
      <c r="G332" s="222" t="s">
        <v>228</v>
      </c>
      <c r="H332" s="221" t="str">
        <f>VLOOKUP(I332,'Program Codes'!C:D,2,FALSE)</f>
        <v>13</v>
      </c>
      <c r="I332" s="175" t="s">
        <v>1113</v>
      </c>
      <c r="J332" s="223" t="s">
        <v>1796</v>
      </c>
      <c r="K332" s="222" t="s">
        <v>1753</v>
      </c>
      <c r="L332" s="221" t="str">
        <f t="shared" si="56"/>
        <v>Retooling</v>
      </c>
      <c r="M332" s="182">
        <v>44378</v>
      </c>
      <c r="N332" s="182">
        <v>45838</v>
      </c>
      <c r="O332" s="174">
        <v>0.96</v>
      </c>
      <c r="P332" s="224">
        <v>0</v>
      </c>
      <c r="Q332" s="224">
        <f t="shared" si="57"/>
        <v>0.96</v>
      </c>
      <c r="R332" s="225">
        <v>0</v>
      </c>
      <c r="S332" s="226">
        <v>0.12</v>
      </c>
      <c r="T332" s="226"/>
      <c r="U332" s="227">
        <f>PAProjects[[#This Row],[GOU 21/22]]+PAProjects[[#This Row],[DONOR 21/22]]</f>
        <v>0.12</v>
      </c>
      <c r="V332" s="222">
        <v>0.13</v>
      </c>
      <c r="W332" s="222"/>
      <c r="X332" s="227">
        <f>PAProjects[[#This Row],[GOU 22/23]]+PAProjects[[#This Row],[DONOR 22/23]]</f>
        <v>0.13</v>
      </c>
      <c r="Y332" s="228">
        <v>0.27</v>
      </c>
      <c r="Z332" s="222"/>
      <c r="AA332" s="229">
        <f t="shared" si="58"/>
        <v>0.27</v>
      </c>
      <c r="AB332" s="229">
        <v>0.44</v>
      </c>
      <c r="AC332" s="222"/>
      <c r="AD332" s="227">
        <f>PAProjects[[#This Row],[GOU 24/25]]+PAProjects[[#This Row],[DONOR 24/25]]</f>
        <v>0.44</v>
      </c>
    </row>
    <row r="333" spans="1:30" x14ac:dyDescent="0.25">
      <c r="A333" s="180" t="s">
        <v>330</v>
      </c>
      <c r="B333" s="221" t="s">
        <v>1882</v>
      </c>
      <c r="C333" s="221" t="e">
        <f ca="1">PAProjects[[#This Row],[LINKING_CODE]]=_xlfn.CONCAT(PAProjects[[#This Row],[Project Code]]," ",PAProjects[[#This Row],[Project Name]])</f>
        <v>#NAME?</v>
      </c>
      <c r="D333" s="221" t="e">
        <f>VLOOKUP(PAProjects[[#This Row],[LINKING_CODE]],MasterTable[[Project Code and Name ]],1,FALSE)</f>
        <v>#N/A</v>
      </c>
      <c r="E333" s="175" t="s">
        <v>538</v>
      </c>
      <c r="F333" s="175" t="s">
        <v>1218</v>
      </c>
      <c r="G333" s="222" t="s">
        <v>233</v>
      </c>
      <c r="H333" s="221" t="str">
        <f>VLOOKUP(I333,'Program Codes'!C:D,2,FALSE)</f>
        <v>13</v>
      </c>
      <c r="I333" s="175" t="s">
        <v>1113</v>
      </c>
      <c r="J333" s="223" t="s">
        <v>1797</v>
      </c>
      <c r="K333" s="222" t="s">
        <v>1754</v>
      </c>
      <c r="L333" s="221" t="str">
        <f t="shared" si="56"/>
        <v>Retooling</v>
      </c>
      <c r="M333" s="182">
        <v>44378</v>
      </c>
      <c r="N333" s="182">
        <v>45838</v>
      </c>
      <c r="O333" s="174">
        <v>0.96</v>
      </c>
      <c r="P333" s="224">
        <v>0</v>
      </c>
      <c r="Q333" s="224">
        <f t="shared" si="57"/>
        <v>0.96</v>
      </c>
      <c r="R333" s="225">
        <v>0</v>
      </c>
      <c r="S333" s="226">
        <v>0.12</v>
      </c>
      <c r="T333" s="226"/>
      <c r="U333" s="227">
        <f>PAProjects[[#This Row],[GOU 21/22]]+PAProjects[[#This Row],[DONOR 21/22]]</f>
        <v>0.12</v>
      </c>
      <c r="V333" s="222">
        <v>0.13</v>
      </c>
      <c r="W333" s="222"/>
      <c r="X333" s="227">
        <f>PAProjects[[#This Row],[GOU 22/23]]+PAProjects[[#This Row],[DONOR 22/23]]</f>
        <v>0.13</v>
      </c>
      <c r="Y333" s="228">
        <v>0.27</v>
      </c>
      <c r="Z333" s="222"/>
      <c r="AA333" s="229">
        <f t="shared" si="58"/>
        <v>0.27</v>
      </c>
      <c r="AB333" s="229">
        <v>0.44</v>
      </c>
      <c r="AC333" s="222"/>
      <c r="AD333" s="227">
        <f>PAProjects[[#This Row],[GOU 24/25]]+PAProjects[[#This Row],[DONOR 24/25]]</f>
        <v>0.44</v>
      </c>
    </row>
    <row r="334" spans="1:30" x14ac:dyDescent="0.25">
      <c r="A334" s="180" t="s">
        <v>1837</v>
      </c>
      <c r="B334" s="221" t="s">
        <v>1883</v>
      </c>
      <c r="C334" s="221" t="e">
        <f ca="1">PAProjects[[#This Row],[LINKING_CODE]]=_xlfn.CONCAT(PAProjects[[#This Row],[Project Code]]," ",PAProjects[[#This Row],[Project Name]])</f>
        <v>#NAME?</v>
      </c>
      <c r="D334" s="221" t="e">
        <f>VLOOKUP(PAProjects[[#This Row],[LINKING_CODE]],MasterTable[[Project Code and Name ]],1,FALSE)</f>
        <v>#N/A</v>
      </c>
      <c r="E334" s="175" t="s">
        <v>540</v>
      </c>
      <c r="F334" s="175" t="s">
        <v>1218</v>
      </c>
      <c r="G334" s="222" t="s">
        <v>234</v>
      </c>
      <c r="H334" s="221" t="str">
        <f>VLOOKUP(I334,'Program Codes'!C:D,2,FALSE)</f>
        <v>13</v>
      </c>
      <c r="I334" s="175" t="s">
        <v>1113</v>
      </c>
      <c r="J334" s="230" t="s">
        <v>1798</v>
      </c>
      <c r="K334" s="231" t="s">
        <v>1755</v>
      </c>
      <c r="L334" s="232" t="str">
        <f t="shared" si="56"/>
        <v>Retooling</v>
      </c>
      <c r="M334" s="182">
        <v>44378</v>
      </c>
      <c r="N334" s="182">
        <v>45838</v>
      </c>
      <c r="O334" s="174">
        <v>0.96</v>
      </c>
      <c r="P334" s="224">
        <v>0</v>
      </c>
      <c r="Q334" s="224">
        <f t="shared" si="57"/>
        <v>0.96</v>
      </c>
      <c r="R334" s="225">
        <v>0</v>
      </c>
      <c r="S334" s="226">
        <v>0.12</v>
      </c>
      <c r="T334" s="226"/>
      <c r="U334" s="227">
        <f>PAProjects[[#This Row],[GOU 21/22]]+PAProjects[[#This Row],[DONOR 21/22]]</f>
        <v>0.12</v>
      </c>
      <c r="V334" s="222">
        <v>0.13</v>
      </c>
      <c r="W334" s="222"/>
      <c r="X334" s="227">
        <f>PAProjects[[#This Row],[GOU 22/23]]+PAProjects[[#This Row],[DONOR 22/23]]</f>
        <v>0.13</v>
      </c>
      <c r="Y334" s="228">
        <v>0.27</v>
      </c>
      <c r="Z334" s="222"/>
      <c r="AA334" s="229">
        <f t="shared" si="58"/>
        <v>0.27</v>
      </c>
      <c r="AB334" s="229">
        <v>0.44</v>
      </c>
      <c r="AC334" s="222"/>
      <c r="AD334" s="227">
        <f>PAProjects[[#This Row],[GOU 24/25]]+PAProjects[[#This Row],[DONOR 24/25]]</f>
        <v>0.44</v>
      </c>
    </row>
    <row r="335" spans="1:30" x14ac:dyDescent="0.25">
      <c r="A335" s="180" t="s">
        <v>1838</v>
      </c>
      <c r="B335" s="221" t="s">
        <v>1884</v>
      </c>
      <c r="C335" s="221" t="e">
        <f ca="1">PAProjects[[#This Row],[LINKING_CODE]]=_xlfn.CONCAT(PAProjects[[#This Row],[Project Code]]," ",PAProjects[[#This Row],[Project Name]])</f>
        <v>#NAME?</v>
      </c>
      <c r="D335" s="221" t="e">
        <f>VLOOKUP(PAProjects[[#This Row],[LINKING_CODE]],MasterTable[[Project Code and Name ]],1,FALSE)</f>
        <v>#N/A</v>
      </c>
      <c r="E335" s="175" t="s">
        <v>542</v>
      </c>
      <c r="F335" s="175" t="s">
        <v>1218</v>
      </c>
      <c r="G335" s="222" t="s">
        <v>238</v>
      </c>
      <c r="H335" s="221" t="str">
        <f>VLOOKUP(I335,'Program Codes'!C:D,2,FALSE)</f>
        <v>13</v>
      </c>
      <c r="I335" s="175" t="s">
        <v>1113</v>
      </c>
      <c r="J335" s="223" t="s">
        <v>1799</v>
      </c>
      <c r="K335" s="227" t="s">
        <v>1756</v>
      </c>
      <c r="L335" s="221" t="str">
        <f t="shared" si="56"/>
        <v>Retooling</v>
      </c>
      <c r="M335" s="182">
        <v>44378</v>
      </c>
      <c r="N335" s="182">
        <v>45838</v>
      </c>
      <c r="O335" s="174">
        <v>0.96</v>
      </c>
      <c r="P335" s="224">
        <v>0</v>
      </c>
      <c r="Q335" s="224">
        <f t="shared" si="57"/>
        <v>0.96</v>
      </c>
      <c r="R335" s="225">
        <v>0</v>
      </c>
      <c r="S335" s="226">
        <v>0.12</v>
      </c>
      <c r="T335" s="226"/>
      <c r="U335" s="227">
        <f>PAProjects[[#This Row],[GOU 21/22]]+PAProjects[[#This Row],[DONOR 21/22]]</f>
        <v>0.12</v>
      </c>
      <c r="V335" s="222">
        <v>0.13</v>
      </c>
      <c r="W335" s="222"/>
      <c r="X335" s="227">
        <f>PAProjects[[#This Row],[GOU 22/23]]+PAProjects[[#This Row],[DONOR 22/23]]</f>
        <v>0.13</v>
      </c>
      <c r="Y335" s="228">
        <v>0.27</v>
      </c>
      <c r="Z335" s="222"/>
      <c r="AA335" s="229">
        <f t="shared" si="58"/>
        <v>0.27</v>
      </c>
      <c r="AB335" s="229">
        <v>0.44</v>
      </c>
      <c r="AC335" s="222"/>
      <c r="AD335" s="227">
        <f>PAProjects[[#This Row],[GOU 24/25]]+PAProjects[[#This Row],[DONOR 24/25]]</f>
        <v>0.44</v>
      </c>
    </row>
    <row r="336" spans="1:30" x14ac:dyDescent="0.25">
      <c r="A336" s="180" t="s">
        <v>1839</v>
      </c>
      <c r="B336" s="221" t="s">
        <v>1885</v>
      </c>
      <c r="C336" s="221" t="e">
        <f ca="1">PAProjects[[#This Row],[LINKING_CODE]]=_xlfn.CONCAT(PAProjects[[#This Row],[Project Code]]," ",PAProjects[[#This Row],[Project Name]])</f>
        <v>#NAME?</v>
      </c>
      <c r="D336" s="221" t="e">
        <f>VLOOKUP(PAProjects[[#This Row],[LINKING_CODE]],MasterTable[[Project Code and Name ]],1,FALSE)</f>
        <v>#N/A</v>
      </c>
      <c r="E336" s="175" t="s">
        <v>544</v>
      </c>
      <c r="F336" s="175" t="s">
        <v>1218</v>
      </c>
      <c r="G336" s="222" t="s">
        <v>235</v>
      </c>
      <c r="H336" s="221" t="str">
        <f>VLOOKUP(I336,'Program Codes'!C:D,2,FALSE)</f>
        <v>13</v>
      </c>
      <c r="I336" s="175" t="s">
        <v>1113</v>
      </c>
      <c r="J336" s="223" t="s">
        <v>1800</v>
      </c>
      <c r="K336" s="222" t="s">
        <v>1757</v>
      </c>
      <c r="L336" s="221" t="str">
        <f t="shared" si="56"/>
        <v>Retooling</v>
      </c>
      <c r="M336" s="182">
        <v>44378</v>
      </c>
      <c r="N336" s="182">
        <v>45838</v>
      </c>
      <c r="O336" s="174">
        <v>1.0900000000000001</v>
      </c>
      <c r="P336" s="224">
        <v>0</v>
      </c>
      <c r="Q336" s="224">
        <f t="shared" si="57"/>
        <v>1.0900000000000001</v>
      </c>
      <c r="R336" s="225">
        <v>0</v>
      </c>
      <c r="S336" s="226">
        <v>0.65</v>
      </c>
      <c r="T336" s="226"/>
      <c r="U336" s="227">
        <f>PAProjects[[#This Row],[GOU 21/22]]+PAProjects[[#This Row],[DONOR 21/22]]</f>
        <v>0.65</v>
      </c>
      <c r="V336" s="222">
        <v>0.28000000000000003</v>
      </c>
      <c r="W336" s="222"/>
      <c r="X336" s="227">
        <f>PAProjects[[#This Row],[GOU 22/23]]+PAProjects[[#This Row],[DONOR 22/23]]</f>
        <v>0.28000000000000003</v>
      </c>
      <c r="Y336" s="228">
        <v>0.12</v>
      </c>
      <c r="Z336" s="222"/>
      <c r="AA336" s="229">
        <f t="shared" si="58"/>
        <v>0.12</v>
      </c>
      <c r="AB336" s="229">
        <v>0.04</v>
      </c>
      <c r="AC336" s="222"/>
      <c r="AD336" s="227">
        <f>PAProjects[[#This Row],[GOU 24/25]]+PAProjects[[#This Row],[DONOR 24/25]]</f>
        <v>0.04</v>
      </c>
    </row>
    <row r="337" spans="1:30" x14ac:dyDescent="0.25">
      <c r="A337" s="180" t="s">
        <v>1840</v>
      </c>
      <c r="B337" s="221" t="s">
        <v>1886</v>
      </c>
      <c r="C337" s="221" t="e">
        <f ca="1">PAProjects[[#This Row],[LINKING_CODE]]=_xlfn.CONCAT(PAProjects[[#This Row],[Project Code]]," ",PAProjects[[#This Row],[Project Name]])</f>
        <v>#NAME?</v>
      </c>
      <c r="D337" s="221" t="e">
        <f>VLOOKUP(PAProjects[[#This Row],[LINKING_CODE]],MasterTable[[Project Code and Name ]],1,FALSE)</f>
        <v>#N/A</v>
      </c>
      <c r="E337" s="175" t="s">
        <v>545</v>
      </c>
      <c r="F337" s="175" t="s">
        <v>1218</v>
      </c>
      <c r="G337" s="222" t="s">
        <v>225</v>
      </c>
      <c r="H337" s="221" t="str">
        <f>VLOOKUP(I337,'Program Codes'!C:D,2,FALSE)</f>
        <v>13</v>
      </c>
      <c r="I337" s="175" t="s">
        <v>1113</v>
      </c>
      <c r="J337" s="223" t="s">
        <v>1801</v>
      </c>
      <c r="K337" s="222" t="s">
        <v>1758</v>
      </c>
      <c r="L337" s="221" t="str">
        <f t="shared" si="56"/>
        <v>Retooling</v>
      </c>
      <c r="M337" s="182">
        <v>44378</v>
      </c>
      <c r="N337" s="182">
        <v>45838</v>
      </c>
      <c r="O337" s="174">
        <v>0.96</v>
      </c>
      <c r="P337" s="224">
        <v>0</v>
      </c>
      <c r="Q337" s="224">
        <f t="shared" si="57"/>
        <v>0.96</v>
      </c>
      <c r="R337" s="225">
        <v>0</v>
      </c>
      <c r="S337" s="226">
        <v>0.12</v>
      </c>
      <c r="T337" s="226"/>
      <c r="U337" s="227">
        <f>PAProjects[[#This Row],[GOU 21/22]]+PAProjects[[#This Row],[DONOR 21/22]]</f>
        <v>0.12</v>
      </c>
      <c r="V337" s="222">
        <v>0.13</v>
      </c>
      <c r="W337" s="222"/>
      <c r="X337" s="227">
        <f>PAProjects[[#This Row],[GOU 22/23]]+PAProjects[[#This Row],[DONOR 22/23]]</f>
        <v>0.13</v>
      </c>
      <c r="Y337" s="228">
        <v>0.27</v>
      </c>
      <c r="Z337" s="222"/>
      <c r="AA337" s="229">
        <f t="shared" si="58"/>
        <v>0.27</v>
      </c>
      <c r="AB337" s="229">
        <v>0.44</v>
      </c>
      <c r="AC337" s="222"/>
      <c r="AD337" s="227">
        <f>PAProjects[[#This Row],[GOU 24/25]]+PAProjects[[#This Row],[DONOR 24/25]]</f>
        <v>0.44</v>
      </c>
    </row>
    <row r="338" spans="1:30" x14ac:dyDescent="0.25">
      <c r="A338" s="180" t="s">
        <v>1841</v>
      </c>
      <c r="B338" s="221" t="s">
        <v>1887</v>
      </c>
      <c r="C338" s="221" t="e">
        <f ca="1">PAProjects[[#This Row],[LINKING_CODE]]=_xlfn.CONCAT(PAProjects[[#This Row],[Project Code]]," ",PAProjects[[#This Row],[Project Name]])</f>
        <v>#NAME?</v>
      </c>
      <c r="D338" s="221" t="e">
        <f>VLOOKUP(PAProjects[[#This Row],[LINKING_CODE]],MasterTable[[Project Code and Name ]],1,FALSE)</f>
        <v>#N/A</v>
      </c>
      <c r="E338" s="175" t="s">
        <v>546</v>
      </c>
      <c r="F338" s="175" t="s">
        <v>1218</v>
      </c>
      <c r="G338" s="222" t="s">
        <v>236</v>
      </c>
      <c r="H338" s="221" t="str">
        <f>VLOOKUP(I338,'Program Codes'!C:D,2,FALSE)</f>
        <v>13</v>
      </c>
      <c r="I338" s="175" t="s">
        <v>1113</v>
      </c>
      <c r="J338" s="223" t="s">
        <v>1802</v>
      </c>
      <c r="K338" s="222" t="s">
        <v>1759</v>
      </c>
      <c r="L338" s="221" t="str">
        <f t="shared" si="56"/>
        <v>Retooling</v>
      </c>
      <c r="M338" s="182">
        <v>44378</v>
      </c>
      <c r="N338" s="182">
        <v>45838</v>
      </c>
      <c r="O338" s="175">
        <v>0.96</v>
      </c>
      <c r="P338" s="224">
        <v>0</v>
      </c>
      <c r="Q338" s="224">
        <f t="shared" si="57"/>
        <v>0.96</v>
      </c>
      <c r="R338" s="225">
        <v>0</v>
      </c>
      <c r="S338" s="226">
        <v>0.12</v>
      </c>
      <c r="T338" s="226"/>
      <c r="U338" s="227">
        <f>PAProjects[[#This Row],[GOU 21/22]]+PAProjects[[#This Row],[DONOR 21/22]]</f>
        <v>0.12</v>
      </c>
      <c r="V338" s="222">
        <v>0.13</v>
      </c>
      <c r="W338" s="222"/>
      <c r="X338" s="227">
        <f>PAProjects[[#This Row],[GOU 22/23]]+PAProjects[[#This Row],[DONOR 22/23]]</f>
        <v>0.13</v>
      </c>
      <c r="Y338" s="228">
        <v>0.27</v>
      </c>
      <c r="Z338" s="222"/>
      <c r="AA338" s="229">
        <f t="shared" si="58"/>
        <v>0.27</v>
      </c>
      <c r="AB338" s="229">
        <v>0.44</v>
      </c>
      <c r="AC338" s="222"/>
      <c r="AD338" s="227">
        <f>PAProjects[[#This Row],[GOU 24/25]]+PAProjects[[#This Row],[DONOR 24/25]]</f>
        <v>0.44</v>
      </c>
    </row>
    <row r="339" spans="1:30" x14ac:dyDescent="0.25">
      <c r="A339" s="180" t="s">
        <v>1842</v>
      </c>
      <c r="B339" s="221" t="s">
        <v>1888</v>
      </c>
      <c r="C339" s="221" t="e">
        <f ca="1">PAProjects[[#This Row],[LINKING_CODE]]=_xlfn.CONCAT(PAProjects[[#This Row],[Project Code]]," ",PAProjects[[#This Row],[Project Name]])</f>
        <v>#NAME?</v>
      </c>
      <c r="D339" s="221" t="e">
        <f>VLOOKUP(PAProjects[[#This Row],[LINKING_CODE]],MasterTable[[Project Code and Name ]],1,FALSE)</f>
        <v>#N/A</v>
      </c>
      <c r="E339" s="175" t="s">
        <v>548</v>
      </c>
      <c r="F339" s="175" t="s">
        <v>1218</v>
      </c>
      <c r="G339" s="222" t="s">
        <v>223</v>
      </c>
      <c r="H339" s="221" t="str">
        <f>VLOOKUP(I339,'Program Codes'!C:D,2,FALSE)</f>
        <v>13</v>
      </c>
      <c r="I339" s="175" t="s">
        <v>1113</v>
      </c>
      <c r="J339" s="223" t="s">
        <v>1803</v>
      </c>
      <c r="K339" s="222" t="s">
        <v>1760</v>
      </c>
      <c r="L339" s="221" t="str">
        <f t="shared" si="56"/>
        <v>Retooling</v>
      </c>
      <c r="M339" s="182">
        <v>44378</v>
      </c>
      <c r="N339" s="182">
        <v>45838</v>
      </c>
      <c r="O339" s="196">
        <v>1.1100000000000001</v>
      </c>
      <c r="P339" s="224">
        <v>0</v>
      </c>
      <c r="Q339" s="224">
        <f t="shared" si="57"/>
        <v>1.1100000000000001</v>
      </c>
      <c r="R339" s="225">
        <v>0</v>
      </c>
      <c r="S339" s="226">
        <v>0.27</v>
      </c>
      <c r="T339" s="226"/>
      <c r="U339" s="227">
        <f>PAProjects[[#This Row],[GOU 21/22]]+PAProjects[[#This Row],[DONOR 21/22]]</f>
        <v>0.27</v>
      </c>
      <c r="V339" s="222">
        <v>0.13</v>
      </c>
      <c r="W339" s="222"/>
      <c r="X339" s="227">
        <f>PAProjects[[#This Row],[GOU 22/23]]+PAProjects[[#This Row],[DONOR 22/23]]</f>
        <v>0.13</v>
      </c>
      <c r="Y339" s="228">
        <v>0.27</v>
      </c>
      <c r="Z339" s="222"/>
      <c r="AA339" s="229">
        <f t="shared" si="58"/>
        <v>0.27</v>
      </c>
      <c r="AB339" s="229">
        <v>0.44</v>
      </c>
      <c r="AC339" s="222"/>
      <c r="AD339" s="227">
        <f>PAProjects[[#This Row],[GOU 24/25]]+PAProjects[[#This Row],[DONOR 24/25]]</f>
        <v>0.44</v>
      </c>
    </row>
    <row r="340" spans="1:30" x14ac:dyDescent="0.25">
      <c r="A340" s="180" t="s">
        <v>1843</v>
      </c>
      <c r="B340" s="221" t="s">
        <v>1889</v>
      </c>
      <c r="C340" s="221" t="e">
        <f ca="1">PAProjects[[#This Row],[LINKING_CODE]]=_xlfn.CONCAT(PAProjects[[#This Row],[Project Code]]," ",PAProjects[[#This Row],[Project Name]])</f>
        <v>#NAME?</v>
      </c>
      <c r="D340" s="221" t="e">
        <f>VLOOKUP(PAProjects[[#This Row],[LINKING_CODE]],MasterTable[[Project Code and Name ]],1,FALSE)</f>
        <v>#N/A</v>
      </c>
      <c r="E340" s="175" t="s">
        <v>549</v>
      </c>
      <c r="F340" s="175" t="s">
        <v>1218</v>
      </c>
      <c r="G340" s="222" t="s">
        <v>221</v>
      </c>
      <c r="H340" s="221" t="str">
        <f>VLOOKUP(I340,'Program Codes'!C:D,2,FALSE)</f>
        <v>13</v>
      </c>
      <c r="I340" s="175" t="s">
        <v>1113</v>
      </c>
      <c r="J340" s="223" t="s">
        <v>1804</v>
      </c>
      <c r="K340" s="222" t="s">
        <v>1761</v>
      </c>
      <c r="L340" s="221" t="str">
        <f t="shared" si="56"/>
        <v>Retooling</v>
      </c>
      <c r="M340" s="182">
        <v>44378</v>
      </c>
      <c r="N340" s="182">
        <v>45838</v>
      </c>
      <c r="O340" s="175">
        <v>0.96</v>
      </c>
      <c r="P340" s="224">
        <v>0</v>
      </c>
      <c r="Q340" s="224">
        <f t="shared" si="57"/>
        <v>0.96</v>
      </c>
      <c r="R340" s="225">
        <v>0</v>
      </c>
      <c r="S340" s="226">
        <v>0.12</v>
      </c>
      <c r="T340" s="226"/>
      <c r="U340" s="227">
        <f>PAProjects[[#This Row],[GOU 21/22]]+PAProjects[[#This Row],[DONOR 21/22]]</f>
        <v>0.12</v>
      </c>
      <c r="V340" s="222">
        <v>0.13</v>
      </c>
      <c r="W340" s="222"/>
      <c r="X340" s="227">
        <f>PAProjects[[#This Row],[GOU 22/23]]+PAProjects[[#This Row],[DONOR 22/23]]</f>
        <v>0.13</v>
      </c>
      <c r="Y340" s="228">
        <v>0.27</v>
      </c>
      <c r="Z340" s="222"/>
      <c r="AA340" s="229">
        <f t="shared" si="58"/>
        <v>0.27</v>
      </c>
      <c r="AB340" s="229">
        <v>0.44</v>
      </c>
      <c r="AC340" s="222"/>
      <c r="AD340" s="227">
        <f>PAProjects[[#This Row],[GOU 24/25]]+PAProjects[[#This Row],[DONOR 24/25]]</f>
        <v>0.44</v>
      </c>
    </row>
    <row r="341" spans="1:30" x14ac:dyDescent="0.25">
      <c r="A341" s="180" t="s">
        <v>1844</v>
      </c>
      <c r="B341" s="221" t="s">
        <v>1890</v>
      </c>
      <c r="C341" s="221" t="e">
        <f ca="1">PAProjects[[#This Row],[LINKING_CODE]]=_xlfn.CONCAT(PAProjects[[#This Row],[Project Code]]," ",PAProjects[[#This Row],[Project Name]])</f>
        <v>#NAME?</v>
      </c>
      <c r="D341" s="221" t="e">
        <f>VLOOKUP(PAProjects[[#This Row],[LINKING_CODE]],MasterTable[[Project Code and Name ]],1,FALSE)</f>
        <v>#N/A</v>
      </c>
      <c r="E341" s="175" t="s">
        <v>551</v>
      </c>
      <c r="F341" s="175" t="s">
        <v>1218</v>
      </c>
      <c r="G341" s="222" t="s">
        <v>220</v>
      </c>
      <c r="H341" s="221" t="str">
        <f>VLOOKUP(I341,'Program Codes'!C:D,2,FALSE)</f>
        <v>13</v>
      </c>
      <c r="I341" s="175" t="s">
        <v>1113</v>
      </c>
      <c r="J341" s="223" t="s">
        <v>1805</v>
      </c>
      <c r="K341" s="222" t="s">
        <v>1762</v>
      </c>
      <c r="L341" s="221" t="str">
        <f t="shared" si="56"/>
        <v>Retooling</v>
      </c>
      <c r="M341" s="182">
        <v>44378</v>
      </c>
      <c r="N341" s="182">
        <v>45838</v>
      </c>
      <c r="O341" s="174">
        <v>0.96</v>
      </c>
      <c r="P341" s="224">
        <v>0</v>
      </c>
      <c r="Q341" s="224">
        <f t="shared" si="57"/>
        <v>0.96</v>
      </c>
      <c r="R341" s="225">
        <v>0</v>
      </c>
      <c r="S341" s="226">
        <v>0.12</v>
      </c>
      <c r="T341" s="226"/>
      <c r="U341" s="227">
        <f>PAProjects[[#This Row],[GOU 21/22]]+PAProjects[[#This Row],[DONOR 21/22]]</f>
        <v>0.12</v>
      </c>
      <c r="V341" s="222">
        <v>0.13</v>
      </c>
      <c r="W341" s="222"/>
      <c r="X341" s="227">
        <f>PAProjects[[#This Row],[GOU 22/23]]+PAProjects[[#This Row],[DONOR 22/23]]</f>
        <v>0.13</v>
      </c>
      <c r="Y341" s="228">
        <v>0.27</v>
      </c>
      <c r="Z341" s="222"/>
      <c r="AA341" s="229">
        <f t="shared" si="58"/>
        <v>0.27</v>
      </c>
      <c r="AB341" s="229">
        <v>0.44</v>
      </c>
      <c r="AC341" s="222"/>
      <c r="AD341" s="227">
        <f>PAProjects[[#This Row],[GOU 24/25]]+PAProjects[[#This Row],[DONOR 24/25]]</f>
        <v>0.44</v>
      </c>
    </row>
    <row r="342" spans="1:30" x14ac:dyDescent="0.25">
      <c r="A342" s="180" t="s">
        <v>1845</v>
      </c>
      <c r="B342" s="221" t="s">
        <v>1891</v>
      </c>
      <c r="C342" s="221" t="e">
        <f ca="1">PAProjects[[#This Row],[LINKING_CODE]]=_xlfn.CONCAT(PAProjects[[#This Row],[Project Code]]," ",PAProjects[[#This Row],[Project Name]])</f>
        <v>#NAME?</v>
      </c>
      <c r="D342" s="221" t="e">
        <f>VLOOKUP(PAProjects[[#This Row],[LINKING_CODE]],MasterTable[[Project Code and Name ]],1,FALSE)</f>
        <v>#N/A</v>
      </c>
      <c r="E342" s="175" t="s">
        <v>575</v>
      </c>
      <c r="F342" s="175" t="s">
        <v>1218</v>
      </c>
      <c r="G342" s="222" t="s">
        <v>237</v>
      </c>
      <c r="H342" s="221" t="str">
        <f>VLOOKUP(I342,'Program Codes'!C:D,2,FALSE)</f>
        <v>13</v>
      </c>
      <c r="I342" s="175" t="s">
        <v>1113</v>
      </c>
      <c r="J342" s="223" t="s">
        <v>1806</v>
      </c>
      <c r="K342" s="222" t="s">
        <v>1763</v>
      </c>
      <c r="L342" s="221" t="str">
        <f t="shared" si="56"/>
        <v>Retooling</v>
      </c>
      <c r="M342" s="182">
        <v>44378</v>
      </c>
      <c r="N342" s="182">
        <v>45838</v>
      </c>
      <c r="O342" s="174">
        <v>0.96</v>
      </c>
      <c r="P342" s="224">
        <v>0</v>
      </c>
      <c r="Q342" s="224">
        <f t="shared" si="57"/>
        <v>0.96</v>
      </c>
      <c r="R342" s="225">
        <v>0</v>
      </c>
      <c r="S342" s="226">
        <v>0.12</v>
      </c>
      <c r="T342" s="226"/>
      <c r="U342" s="227">
        <f>PAProjects[[#This Row],[GOU 21/22]]+PAProjects[[#This Row],[DONOR 21/22]]</f>
        <v>0.12</v>
      </c>
      <c r="V342" s="222">
        <v>0.13</v>
      </c>
      <c r="W342" s="222"/>
      <c r="X342" s="227">
        <f>PAProjects[[#This Row],[GOU 22/23]]+PAProjects[[#This Row],[DONOR 22/23]]</f>
        <v>0.13</v>
      </c>
      <c r="Y342" s="228">
        <v>0.27</v>
      </c>
      <c r="Z342" s="222"/>
      <c r="AA342" s="229">
        <f t="shared" si="58"/>
        <v>0.27</v>
      </c>
      <c r="AB342" s="229">
        <v>0.44</v>
      </c>
      <c r="AC342" s="222"/>
      <c r="AD342" s="227">
        <f>PAProjects[[#This Row],[GOU 24/25]]+PAProjects[[#This Row],[DONOR 24/25]]</f>
        <v>0.44</v>
      </c>
    </row>
    <row r="343" spans="1:30" x14ac:dyDescent="0.25">
      <c r="A343" s="180" t="s">
        <v>1846</v>
      </c>
      <c r="B343" s="221" t="s">
        <v>1892</v>
      </c>
      <c r="C343" s="221" t="e">
        <f ca="1">PAProjects[[#This Row],[LINKING_CODE]]=_xlfn.CONCAT(PAProjects[[#This Row],[Project Code]]," ",PAProjects[[#This Row],[Project Name]])</f>
        <v>#NAME?</v>
      </c>
      <c r="D343" s="221" t="e">
        <f>VLOOKUP(PAProjects[[#This Row],[LINKING_CODE]],MasterTable[[Project Code and Name ]],1,FALSE)</f>
        <v>#N/A</v>
      </c>
      <c r="E343" s="175" t="s">
        <v>577</v>
      </c>
      <c r="F343" s="175" t="s">
        <v>1218</v>
      </c>
      <c r="G343" s="222" t="s">
        <v>215</v>
      </c>
      <c r="H343" s="221" t="str">
        <f>VLOOKUP(I343,'Program Codes'!C:D,2,FALSE)</f>
        <v>13</v>
      </c>
      <c r="I343" s="175" t="s">
        <v>1113</v>
      </c>
      <c r="J343" s="223" t="s">
        <v>1807</v>
      </c>
      <c r="K343" s="222" t="s">
        <v>1764</v>
      </c>
      <c r="L343" s="221" t="str">
        <f t="shared" si="56"/>
        <v>Retooling</v>
      </c>
      <c r="M343" s="182">
        <v>44378</v>
      </c>
      <c r="N343" s="182">
        <v>45838</v>
      </c>
      <c r="O343" s="174">
        <v>0.96</v>
      </c>
      <c r="P343" s="224">
        <v>0</v>
      </c>
      <c r="Q343" s="224">
        <f t="shared" si="57"/>
        <v>0.96</v>
      </c>
      <c r="R343" s="225">
        <v>0</v>
      </c>
      <c r="S343" s="226">
        <v>0.12</v>
      </c>
      <c r="T343" s="226"/>
      <c r="U343" s="227">
        <f>PAProjects[[#This Row],[GOU 21/22]]+PAProjects[[#This Row],[DONOR 21/22]]</f>
        <v>0.12</v>
      </c>
      <c r="V343" s="222">
        <v>0.13</v>
      </c>
      <c r="W343" s="222"/>
      <c r="X343" s="227">
        <f>PAProjects[[#This Row],[GOU 22/23]]+PAProjects[[#This Row],[DONOR 22/23]]</f>
        <v>0.13</v>
      </c>
      <c r="Y343" s="228">
        <v>0.27</v>
      </c>
      <c r="Z343" s="222"/>
      <c r="AA343" s="229">
        <f t="shared" si="58"/>
        <v>0.27</v>
      </c>
      <c r="AB343" s="229">
        <v>0.44</v>
      </c>
      <c r="AC343" s="222"/>
      <c r="AD343" s="227">
        <f>PAProjects[[#This Row],[GOU 24/25]]+PAProjects[[#This Row],[DONOR 24/25]]</f>
        <v>0.44</v>
      </c>
    </row>
    <row r="344" spans="1:30" x14ac:dyDescent="0.25">
      <c r="A344" s="180" t="s">
        <v>1847</v>
      </c>
      <c r="B344" s="221" t="s">
        <v>1893</v>
      </c>
      <c r="C344" s="221" t="e">
        <f ca="1">PAProjects[[#This Row],[LINKING_CODE]]=_xlfn.CONCAT(PAProjects[[#This Row],[Project Code]]," ",PAProjects[[#This Row],[Project Name]])</f>
        <v>#NAME?</v>
      </c>
      <c r="D344" s="221" t="e">
        <f>VLOOKUP(PAProjects[[#This Row],[LINKING_CODE]],MasterTable[[Project Code and Name ]],1,FALSE)</f>
        <v>#N/A</v>
      </c>
      <c r="E344" s="175" t="s">
        <v>578</v>
      </c>
      <c r="F344" s="175" t="s">
        <v>1218</v>
      </c>
      <c r="G344" s="222" t="s">
        <v>214</v>
      </c>
      <c r="H344" s="221" t="str">
        <f>VLOOKUP(I344,'Program Codes'!C:D,2,FALSE)</f>
        <v>13</v>
      </c>
      <c r="I344" s="175" t="s">
        <v>1113</v>
      </c>
      <c r="J344" s="223" t="s">
        <v>1808</v>
      </c>
      <c r="K344" s="222" t="s">
        <v>1765</v>
      </c>
      <c r="L344" s="221" t="str">
        <f t="shared" si="56"/>
        <v>Retooling</v>
      </c>
      <c r="M344" s="182">
        <v>44378</v>
      </c>
      <c r="N344" s="182">
        <v>45838</v>
      </c>
      <c r="O344" s="174">
        <v>0.96</v>
      </c>
      <c r="P344" s="224">
        <v>0</v>
      </c>
      <c r="Q344" s="224">
        <f t="shared" si="57"/>
        <v>0.96</v>
      </c>
      <c r="R344" s="225">
        <v>0</v>
      </c>
      <c r="S344" s="226">
        <v>0.12</v>
      </c>
      <c r="T344" s="226"/>
      <c r="U344" s="227">
        <f>PAProjects[[#This Row],[GOU 21/22]]+PAProjects[[#This Row],[DONOR 21/22]]</f>
        <v>0.12</v>
      </c>
      <c r="V344" s="222">
        <v>0.13</v>
      </c>
      <c r="W344" s="222"/>
      <c r="X344" s="227">
        <f>PAProjects[[#This Row],[GOU 22/23]]+PAProjects[[#This Row],[DONOR 22/23]]</f>
        <v>0.13</v>
      </c>
      <c r="Y344" s="228">
        <v>0.27</v>
      </c>
      <c r="Z344" s="222"/>
      <c r="AA344" s="229">
        <f t="shared" si="58"/>
        <v>0.27</v>
      </c>
      <c r="AB344" s="229">
        <v>0.44</v>
      </c>
      <c r="AC344" s="222"/>
      <c r="AD344" s="227">
        <f>PAProjects[[#This Row],[GOU 24/25]]+PAProjects[[#This Row],[DONOR 24/25]]</f>
        <v>0.44</v>
      </c>
    </row>
    <row r="345" spans="1:30" x14ac:dyDescent="0.25">
      <c r="A345" s="180" t="s">
        <v>1848</v>
      </c>
      <c r="B345" s="221" t="s">
        <v>1894</v>
      </c>
      <c r="C345" s="221" t="e">
        <f ca="1">PAProjects[[#This Row],[LINKING_CODE]]=_xlfn.CONCAT(PAProjects[[#This Row],[Project Code]]," ",PAProjects[[#This Row],[Project Name]])</f>
        <v>#NAME?</v>
      </c>
      <c r="D345" s="221" t="e">
        <f>VLOOKUP(PAProjects[[#This Row],[LINKING_CODE]],MasterTable[[Project Code and Name ]],1,FALSE)</f>
        <v>#N/A</v>
      </c>
      <c r="E345" s="175" t="s">
        <v>579</v>
      </c>
      <c r="F345" s="175" t="s">
        <v>1218</v>
      </c>
      <c r="G345" s="222" t="s">
        <v>213</v>
      </c>
      <c r="H345" s="221" t="str">
        <f>VLOOKUP(I345,'Program Codes'!C:D,2,FALSE)</f>
        <v>13</v>
      </c>
      <c r="I345" s="175" t="s">
        <v>1113</v>
      </c>
      <c r="J345" s="223" t="s">
        <v>1809</v>
      </c>
      <c r="K345" s="222" t="s">
        <v>1766</v>
      </c>
      <c r="L345" s="221" t="str">
        <f t="shared" si="56"/>
        <v>Retooling</v>
      </c>
      <c r="M345" s="182">
        <v>44378</v>
      </c>
      <c r="N345" s="182">
        <v>45838</v>
      </c>
      <c r="O345" s="174">
        <v>0.96</v>
      </c>
      <c r="P345" s="224">
        <v>0</v>
      </c>
      <c r="Q345" s="224">
        <f t="shared" si="57"/>
        <v>0.96</v>
      </c>
      <c r="R345" s="225">
        <v>0</v>
      </c>
      <c r="S345" s="226">
        <v>0.12</v>
      </c>
      <c r="T345" s="226"/>
      <c r="U345" s="227">
        <f>PAProjects[[#This Row],[GOU 21/22]]+PAProjects[[#This Row],[DONOR 21/22]]</f>
        <v>0.12</v>
      </c>
      <c r="V345" s="222">
        <v>0.13</v>
      </c>
      <c r="W345" s="222"/>
      <c r="X345" s="227">
        <f>PAProjects[[#This Row],[GOU 22/23]]+PAProjects[[#This Row],[DONOR 22/23]]</f>
        <v>0.13</v>
      </c>
      <c r="Y345" s="228">
        <v>0.27</v>
      </c>
      <c r="Z345" s="222"/>
      <c r="AA345" s="229">
        <f t="shared" si="58"/>
        <v>0.27</v>
      </c>
      <c r="AB345" s="229">
        <v>0.44</v>
      </c>
      <c r="AC345" s="222"/>
      <c r="AD345" s="227">
        <f>PAProjects[[#This Row],[GOU 24/25]]+PAProjects[[#This Row],[DONOR 24/25]]</f>
        <v>0.44</v>
      </c>
    </row>
    <row r="346" spans="1:30" x14ac:dyDescent="0.25">
      <c r="A346" s="180" t="s">
        <v>1849</v>
      </c>
      <c r="B346" s="221" t="s">
        <v>1895</v>
      </c>
      <c r="C346" s="221" t="e">
        <f ca="1">PAProjects[[#This Row],[LINKING_CODE]]=_xlfn.CONCAT(PAProjects[[#This Row],[Project Code]]," ",PAProjects[[#This Row],[Project Name]])</f>
        <v>#NAME?</v>
      </c>
      <c r="D346" s="221" t="e">
        <f>VLOOKUP(PAProjects[[#This Row],[LINKING_CODE]],MasterTable[[Project Code and Name ]],1,FALSE)</f>
        <v>#N/A</v>
      </c>
      <c r="E346" s="175" t="s">
        <v>581</v>
      </c>
      <c r="F346" s="175" t="s">
        <v>1218</v>
      </c>
      <c r="G346" s="222" t="s">
        <v>212</v>
      </c>
      <c r="H346" s="221" t="str">
        <f>VLOOKUP(I346,'Program Codes'!C:D,2,FALSE)</f>
        <v>13</v>
      </c>
      <c r="I346" s="175" t="s">
        <v>1113</v>
      </c>
      <c r="J346" s="223" t="s">
        <v>1810</v>
      </c>
      <c r="K346" s="222" t="s">
        <v>1767</v>
      </c>
      <c r="L346" s="221" t="str">
        <f t="shared" si="56"/>
        <v>Retooling</v>
      </c>
      <c r="M346" s="182">
        <v>44378</v>
      </c>
      <c r="N346" s="182">
        <v>45838</v>
      </c>
      <c r="O346" s="174">
        <v>0.96</v>
      </c>
      <c r="P346" s="224">
        <v>0</v>
      </c>
      <c r="Q346" s="224">
        <f t="shared" si="57"/>
        <v>0.96</v>
      </c>
      <c r="R346" s="225">
        <v>0</v>
      </c>
      <c r="S346" s="226">
        <v>0.12</v>
      </c>
      <c r="T346" s="226"/>
      <c r="U346" s="227">
        <f>PAProjects[[#This Row],[GOU 21/22]]+PAProjects[[#This Row],[DONOR 21/22]]</f>
        <v>0.12</v>
      </c>
      <c r="V346" s="222">
        <v>0.13</v>
      </c>
      <c r="W346" s="222"/>
      <c r="X346" s="227">
        <f>PAProjects[[#This Row],[GOU 22/23]]+PAProjects[[#This Row],[DONOR 22/23]]</f>
        <v>0.13</v>
      </c>
      <c r="Y346" s="228">
        <v>0.27</v>
      </c>
      <c r="Z346" s="222"/>
      <c r="AA346" s="229">
        <f t="shared" si="58"/>
        <v>0.27</v>
      </c>
      <c r="AB346" s="229">
        <v>0.44</v>
      </c>
      <c r="AC346" s="222"/>
      <c r="AD346" s="227">
        <f>PAProjects[[#This Row],[GOU 24/25]]+PAProjects[[#This Row],[DONOR 24/25]]</f>
        <v>0.44</v>
      </c>
    </row>
    <row r="347" spans="1:30" x14ac:dyDescent="0.25">
      <c r="A347" s="180" t="s">
        <v>1850</v>
      </c>
      <c r="B347" s="221" t="s">
        <v>1896</v>
      </c>
      <c r="C347" s="221" t="e">
        <f ca="1">PAProjects[[#This Row],[LINKING_CODE]]=_xlfn.CONCAT(PAProjects[[#This Row],[Project Code]]," ",PAProjects[[#This Row],[Project Name]])</f>
        <v>#NAME?</v>
      </c>
      <c r="D347" s="221" t="e">
        <f>VLOOKUP(PAProjects[[#This Row],[LINKING_CODE]],MasterTable[[Project Code and Name ]],1,FALSE)</f>
        <v>#N/A</v>
      </c>
      <c r="E347" s="175" t="s">
        <v>583</v>
      </c>
      <c r="F347" s="175" t="s">
        <v>1218</v>
      </c>
      <c r="G347" s="222" t="s">
        <v>211</v>
      </c>
      <c r="H347" s="221" t="str">
        <f>VLOOKUP(I347,'Program Codes'!C:D,2,FALSE)</f>
        <v>13</v>
      </c>
      <c r="I347" s="175" t="s">
        <v>1113</v>
      </c>
      <c r="J347" s="223" t="s">
        <v>1811</v>
      </c>
      <c r="K347" s="222" t="s">
        <v>1768</v>
      </c>
      <c r="L347" s="221" t="str">
        <f t="shared" si="56"/>
        <v>Retooling</v>
      </c>
      <c r="M347" s="182">
        <v>44378</v>
      </c>
      <c r="N347" s="182">
        <v>45838</v>
      </c>
      <c r="O347" s="174">
        <v>0.96</v>
      </c>
      <c r="P347" s="224">
        <v>0</v>
      </c>
      <c r="Q347" s="224">
        <f t="shared" si="57"/>
        <v>0.96</v>
      </c>
      <c r="R347" s="225">
        <v>0</v>
      </c>
      <c r="S347" s="226">
        <v>0.12</v>
      </c>
      <c r="T347" s="226"/>
      <c r="U347" s="227">
        <f>PAProjects[[#This Row],[GOU 21/22]]+PAProjects[[#This Row],[DONOR 21/22]]</f>
        <v>0.12</v>
      </c>
      <c r="V347" s="222">
        <v>0.13</v>
      </c>
      <c r="W347" s="222"/>
      <c r="X347" s="227">
        <f>PAProjects[[#This Row],[GOU 22/23]]+PAProjects[[#This Row],[DONOR 22/23]]</f>
        <v>0.13</v>
      </c>
      <c r="Y347" s="228">
        <v>0.27</v>
      </c>
      <c r="Z347" s="222"/>
      <c r="AA347" s="229">
        <f t="shared" si="58"/>
        <v>0.27</v>
      </c>
      <c r="AB347" s="229">
        <v>0.44</v>
      </c>
      <c r="AC347" s="222"/>
      <c r="AD347" s="227">
        <f>PAProjects[[#This Row],[GOU 24/25]]+PAProjects[[#This Row],[DONOR 24/25]]</f>
        <v>0.44</v>
      </c>
    </row>
    <row r="348" spans="1:30" x14ac:dyDescent="0.25">
      <c r="A348" s="180" t="s">
        <v>1851</v>
      </c>
      <c r="B348" s="221" t="s">
        <v>1897</v>
      </c>
      <c r="C348" s="221" t="e">
        <f ca="1">PAProjects[[#This Row],[LINKING_CODE]]=_xlfn.CONCAT(PAProjects[[#This Row],[Project Code]]," ",PAProjects[[#This Row],[Project Name]])</f>
        <v>#NAME?</v>
      </c>
      <c r="D348" s="221" t="e">
        <f>VLOOKUP(PAProjects[[#This Row],[LINKING_CODE]],MasterTable[[Project Code and Name ]],1,FALSE)</f>
        <v>#N/A</v>
      </c>
      <c r="E348" s="175" t="s">
        <v>584</v>
      </c>
      <c r="F348" s="175" t="s">
        <v>1218</v>
      </c>
      <c r="G348" s="222" t="s">
        <v>209</v>
      </c>
      <c r="H348" s="221" t="str">
        <f>VLOOKUP(I348,'Program Codes'!C:D,2,FALSE)</f>
        <v>13</v>
      </c>
      <c r="I348" s="175" t="s">
        <v>1113</v>
      </c>
      <c r="J348" s="223" t="s">
        <v>1812</v>
      </c>
      <c r="K348" s="222" t="s">
        <v>1769</v>
      </c>
      <c r="L348" s="221" t="str">
        <f t="shared" si="56"/>
        <v>Retooling</v>
      </c>
      <c r="M348" s="182">
        <v>44378</v>
      </c>
      <c r="N348" s="182">
        <v>45838</v>
      </c>
      <c r="O348" s="174">
        <v>0.96</v>
      </c>
      <c r="P348" s="224">
        <v>0</v>
      </c>
      <c r="Q348" s="224">
        <f t="shared" si="57"/>
        <v>0.96</v>
      </c>
      <c r="R348" s="225">
        <v>0</v>
      </c>
      <c r="S348" s="226">
        <v>0.12</v>
      </c>
      <c r="T348" s="226"/>
      <c r="U348" s="227">
        <f>PAProjects[[#This Row],[GOU 21/22]]+PAProjects[[#This Row],[DONOR 21/22]]</f>
        <v>0.12</v>
      </c>
      <c r="V348" s="222">
        <v>0.13</v>
      </c>
      <c r="W348" s="222"/>
      <c r="X348" s="227">
        <f>PAProjects[[#This Row],[GOU 22/23]]+PAProjects[[#This Row],[DONOR 22/23]]</f>
        <v>0.13</v>
      </c>
      <c r="Y348" s="228">
        <v>0.27</v>
      </c>
      <c r="Z348" s="222"/>
      <c r="AA348" s="229">
        <f t="shared" si="58"/>
        <v>0.27</v>
      </c>
      <c r="AB348" s="229">
        <v>0.44</v>
      </c>
      <c r="AC348" s="222"/>
      <c r="AD348" s="227">
        <f>PAProjects[[#This Row],[GOU 24/25]]+PAProjects[[#This Row],[DONOR 24/25]]</f>
        <v>0.44</v>
      </c>
    </row>
    <row r="349" spans="1:30" x14ac:dyDescent="0.25">
      <c r="A349" s="180" t="s">
        <v>1852</v>
      </c>
      <c r="B349" s="221" t="s">
        <v>1898</v>
      </c>
      <c r="C349" s="221" t="e">
        <f ca="1">PAProjects[[#This Row],[LINKING_CODE]]=_xlfn.CONCAT(PAProjects[[#This Row],[Project Code]]," ",PAProjects[[#This Row],[Project Name]])</f>
        <v>#NAME?</v>
      </c>
      <c r="D349" s="221" t="e">
        <f>VLOOKUP(PAProjects[[#This Row],[LINKING_CODE]],MasterTable[[Project Code and Name ]],1,FALSE)</f>
        <v>#N/A</v>
      </c>
      <c r="E349" s="175" t="s">
        <v>586</v>
      </c>
      <c r="F349" s="175" t="s">
        <v>1218</v>
      </c>
      <c r="G349" s="222" t="s">
        <v>208</v>
      </c>
      <c r="H349" s="221" t="str">
        <f>VLOOKUP(I349,'Program Codes'!C:D,2,FALSE)</f>
        <v>13</v>
      </c>
      <c r="I349" s="175" t="s">
        <v>1113</v>
      </c>
      <c r="J349" s="223" t="s">
        <v>1813</v>
      </c>
      <c r="K349" s="222" t="s">
        <v>1770</v>
      </c>
      <c r="L349" s="221" t="str">
        <f t="shared" si="56"/>
        <v>Retooling</v>
      </c>
      <c r="M349" s="182">
        <v>44378</v>
      </c>
      <c r="N349" s="182">
        <v>45838</v>
      </c>
      <c r="O349" s="174">
        <v>0.96</v>
      </c>
      <c r="P349" s="224">
        <v>0</v>
      </c>
      <c r="Q349" s="224">
        <f t="shared" si="57"/>
        <v>0.96</v>
      </c>
      <c r="R349" s="225">
        <v>0</v>
      </c>
      <c r="S349" s="226">
        <v>0.12</v>
      </c>
      <c r="T349" s="226"/>
      <c r="U349" s="227">
        <f>PAProjects[[#This Row],[GOU 21/22]]+PAProjects[[#This Row],[DONOR 21/22]]</f>
        <v>0.12</v>
      </c>
      <c r="V349" s="222">
        <v>0.13</v>
      </c>
      <c r="W349" s="222"/>
      <c r="X349" s="227">
        <f>PAProjects[[#This Row],[GOU 22/23]]+PAProjects[[#This Row],[DONOR 22/23]]</f>
        <v>0.13</v>
      </c>
      <c r="Y349" s="228">
        <v>0.27</v>
      </c>
      <c r="Z349" s="222"/>
      <c r="AA349" s="229">
        <f t="shared" si="58"/>
        <v>0.27</v>
      </c>
      <c r="AB349" s="229">
        <v>0.44</v>
      </c>
      <c r="AC349" s="222"/>
      <c r="AD349" s="227">
        <f>PAProjects[[#This Row],[GOU 24/25]]+PAProjects[[#This Row],[DONOR 24/25]]</f>
        <v>0.44</v>
      </c>
    </row>
    <row r="350" spans="1:30" x14ac:dyDescent="0.25">
      <c r="A350" s="180" t="s">
        <v>1853</v>
      </c>
      <c r="B350" s="221" t="s">
        <v>1899</v>
      </c>
      <c r="C350" s="221" t="e">
        <f ca="1">PAProjects[[#This Row],[LINKING_CODE]]=_xlfn.CONCAT(PAProjects[[#This Row],[Project Code]]," ",PAProjects[[#This Row],[Project Name]])</f>
        <v>#NAME?</v>
      </c>
      <c r="D350" s="221" t="e">
        <f>VLOOKUP(PAProjects[[#This Row],[LINKING_CODE]],MasterTable[[Project Code and Name ]],1,FALSE)</f>
        <v>#N/A</v>
      </c>
      <c r="E350" s="175" t="s">
        <v>588</v>
      </c>
      <c r="F350" s="175" t="s">
        <v>1218</v>
      </c>
      <c r="G350" s="222" t="s">
        <v>207</v>
      </c>
      <c r="H350" s="221" t="str">
        <f>VLOOKUP(I350,'Program Codes'!C:D,2,FALSE)</f>
        <v>13</v>
      </c>
      <c r="I350" s="175" t="s">
        <v>1113</v>
      </c>
      <c r="J350" s="223" t="s">
        <v>1814</v>
      </c>
      <c r="K350" s="222" t="s">
        <v>1771</v>
      </c>
      <c r="L350" s="221" t="str">
        <f t="shared" si="56"/>
        <v>Retooling</v>
      </c>
      <c r="M350" s="182">
        <v>44378</v>
      </c>
      <c r="N350" s="182">
        <v>45838</v>
      </c>
      <c r="O350" s="174">
        <v>0.96</v>
      </c>
      <c r="P350" s="224">
        <v>0</v>
      </c>
      <c r="Q350" s="224">
        <f t="shared" si="57"/>
        <v>0.96</v>
      </c>
      <c r="R350" s="225">
        <v>0</v>
      </c>
      <c r="S350" s="226">
        <v>0.12</v>
      </c>
      <c r="T350" s="226"/>
      <c r="U350" s="227">
        <f>PAProjects[[#This Row],[GOU 21/22]]+PAProjects[[#This Row],[DONOR 21/22]]</f>
        <v>0.12</v>
      </c>
      <c r="V350" s="222">
        <v>0.13</v>
      </c>
      <c r="W350" s="222"/>
      <c r="X350" s="227">
        <f>PAProjects[[#This Row],[GOU 22/23]]+PAProjects[[#This Row],[DONOR 22/23]]</f>
        <v>0.13</v>
      </c>
      <c r="Y350" s="228">
        <v>0.27</v>
      </c>
      <c r="Z350" s="222"/>
      <c r="AA350" s="229">
        <f t="shared" si="58"/>
        <v>0.27</v>
      </c>
      <c r="AB350" s="229">
        <v>0.44</v>
      </c>
      <c r="AC350" s="222"/>
      <c r="AD350" s="227">
        <f>PAProjects[[#This Row],[GOU 24/25]]+PAProjects[[#This Row],[DONOR 24/25]]</f>
        <v>0.44</v>
      </c>
    </row>
    <row r="351" spans="1:30" x14ac:dyDescent="0.25">
      <c r="A351" s="180" t="s">
        <v>1854</v>
      </c>
      <c r="B351" s="221" t="s">
        <v>1900</v>
      </c>
      <c r="C351" s="221" t="e">
        <f ca="1">PAProjects[[#This Row],[LINKING_CODE]]=_xlfn.CONCAT(PAProjects[[#This Row],[Project Code]]," ",PAProjects[[#This Row],[Project Name]])</f>
        <v>#NAME?</v>
      </c>
      <c r="D351" s="221" t="e">
        <f>VLOOKUP(PAProjects[[#This Row],[LINKING_CODE]],MasterTable[[Project Code and Name ]],1,FALSE)</f>
        <v>#N/A</v>
      </c>
      <c r="E351" s="175" t="s">
        <v>598</v>
      </c>
      <c r="F351" s="175" t="s">
        <v>1218</v>
      </c>
      <c r="G351" s="222" t="s">
        <v>206</v>
      </c>
      <c r="H351" s="221" t="str">
        <f>VLOOKUP(I351,'Program Codes'!C:D,2,FALSE)</f>
        <v>13</v>
      </c>
      <c r="I351" s="175" t="s">
        <v>1113</v>
      </c>
      <c r="J351" s="223" t="s">
        <v>1815</v>
      </c>
      <c r="K351" s="222" t="s">
        <v>1772</v>
      </c>
      <c r="L351" s="221" t="str">
        <f t="shared" si="56"/>
        <v>Retooling</v>
      </c>
      <c r="M351" s="182">
        <v>44378</v>
      </c>
      <c r="N351" s="182">
        <v>45838</v>
      </c>
      <c r="O351" s="174">
        <v>0.96</v>
      </c>
      <c r="P351" s="224">
        <v>0</v>
      </c>
      <c r="Q351" s="224">
        <f t="shared" si="57"/>
        <v>0.96</v>
      </c>
      <c r="R351" s="225">
        <v>0</v>
      </c>
      <c r="S351" s="226">
        <v>0.12</v>
      </c>
      <c r="T351" s="226"/>
      <c r="U351" s="227">
        <f>PAProjects[[#This Row],[GOU 21/22]]+PAProjects[[#This Row],[DONOR 21/22]]</f>
        <v>0.12</v>
      </c>
      <c r="V351" s="222">
        <v>0.13</v>
      </c>
      <c r="W351" s="222"/>
      <c r="X351" s="227">
        <f>PAProjects[[#This Row],[GOU 22/23]]+PAProjects[[#This Row],[DONOR 22/23]]</f>
        <v>0.13</v>
      </c>
      <c r="Y351" s="228">
        <v>0.27</v>
      </c>
      <c r="Z351" s="222"/>
      <c r="AA351" s="229">
        <f t="shared" si="58"/>
        <v>0.27</v>
      </c>
      <c r="AB351" s="229">
        <v>0.44</v>
      </c>
      <c r="AC351" s="222"/>
      <c r="AD351" s="227">
        <f>PAProjects[[#This Row],[GOU 24/25]]+PAProjects[[#This Row],[DONOR 24/25]]</f>
        <v>0.44</v>
      </c>
    </row>
    <row r="352" spans="1:30" x14ac:dyDescent="0.25">
      <c r="A352" s="180" t="s">
        <v>1855</v>
      </c>
      <c r="B352" s="221" t="s">
        <v>1901</v>
      </c>
      <c r="C352" s="221" t="e">
        <f ca="1">PAProjects[[#This Row],[LINKING_CODE]]=_xlfn.CONCAT(PAProjects[[#This Row],[Project Code]]," ",PAProjects[[#This Row],[Project Name]])</f>
        <v>#NAME?</v>
      </c>
      <c r="D352" s="221" t="e">
        <f>VLOOKUP(PAProjects[[#This Row],[LINKING_CODE]],MasterTable[[Project Code and Name ]],1,FALSE)</f>
        <v>#N/A</v>
      </c>
      <c r="E352" s="175" t="s">
        <v>599</v>
      </c>
      <c r="F352" s="175" t="s">
        <v>1218</v>
      </c>
      <c r="G352" s="222" t="s">
        <v>205</v>
      </c>
      <c r="H352" s="221" t="str">
        <f>VLOOKUP(I352,'Program Codes'!C:D,2,FALSE)</f>
        <v>13</v>
      </c>
      <c r="I352" s="175" t="s">
        <v>1113</v>
      </c>
      <c r="J352" s="223" t="s">
        <v>1816</v>
      </c>
      <c r="K352" s="222" t="s">
        <v>1773</v>
      </c>
      <c r="L352" s="221" t="str">
        <f t="shared" si="56"/>
        <v>Retooling</v>
      </c>
      <c r="M352" s="182">
        <v>44378</v>
      </c>
      <c r="N352" s="182">
        <v>45838</v>
      </c>
      <c r="O352" s="174">
        <v>0.96</v>
      </c>
      <c r="P352" s="224">
        <v>0</v>
      </c>
      <c r="Q352" s="224">
        <f t="shared" si="57"/>
        <v>0.96</v>
      </c>
      <c r="R352" s="225">
        <v>0</v>
      </c>
      <c r="S352" s="226">
        <v>0.12</v>
      </c>
      <c r="T352" s="226"/>
      <c r="U352" s="227">
        <f>PAProjects[[#This Row],[GOU 21/22]]+PAProjects[[#This Row],[DONOR 21/22]]</f>
        <v>0.12</v>
      </c>
      <c r="V352" s="222">
        <v>0.13</v>
      </c>
      <c r="W352" s="222"/>
      <c r="X352" s="227">
        <f>PAProjects[[#This Row],[GOU 22/23]]+PAProjects[[#This Row],[DONOR 22/23]]</f>
        <v>0.13</v>
      </c>
      <c r="Y352" s="228">
        <v>0.27</v>
      </c>
      <c r="Z352" s="222"/>
      <c r="AA352" s="229">
        <f t="shared" si="58"/>
        <v>0.27</v>
      </c>
      <c r="AB352" s="229">
        <v>0.44</v>
      </c>
      <c r="AC352" s="222"/>
      <c r="AD352" s="227">
        <f>PAProjects[[#This Row],[GOU 24/25]]+PAProjects[[#This Row],[DONOR 24/25]]</f>
        <v>0.44</v>
      </c>
    </row>
    <row r="353" spans="1:30" x14ac:dyDescent="0.25">
      <c r="A353" s="180" t="s">
        <v>1856</v>
      </c>
      <c r="B353" s="221" t="s">
        <v>1902</v>
      </c>
      <c r="C353" s="221" t="e">
        <f ca="1">PAProjects[[#This Row],[LINKING_CODE]]=_xlfn.CONCAT(PAProjects[[#This Row],[Project Code]]," ",PAProjects[[#This Row],[Project Name]])</f>
        <v>#NAME?</v>
      </c>
      <c r="D353" s="221" t="e">
        <f>VLOOKUP(PAProjects[[#This Row],[LINKING_CODE]],MasterTable[[Project Code and Name ]],1,FALSE)</f>
        <v>#N/A</v>
      </c>
      <c r="E353" s="175" t="s">
        <v>601</v>
      </c>
      <c r="F353" s="175" t="s">
        <v>1218</v>
      </c>
      <c r="G353" s="222" t="s">
        <v>202</v>
      </c>
      <c r="H353" s="221" t="str">
        <f>VLOOKUP(I353,'Program Codes'!C:D,2,FALSE)</f>
        <v>13</v>
      </c>
      <c r="I353" s="175" t="s">
        <v>1113</v>
      </c>
      <c r="J353" s="223" t="s">
        <v>1817</v>
      </c>
      <c r="K353" s="222" t="s">
        <v>1774</v>
      </c>
      <c r="L353" s="221" t="str">
        <f t="shared" si="56"/>
        <v>Retooling</v>
      </c>
      <c r="M353" s="182">
        <v>44378</v>
      </c>
      <c r="N353" s="182">
        <v>45838</v>
      </c>
      <c r="O353" s="174">
        <v>0.96</v>
      </c>
      <c r="P353" s="224">
        <v>0</v>
      </c>
      <c r="Q353" s="224">
        <f t="shared" si="57"/>
        <v>0.96</v>
      </c>
      <c r="R353" s="225">
        <v>0</v>
      </c>
      <c r="S353" s="226">
        <v>0.12</v>
      </c>
      <c r="T353" s="226"/>
      <c r="U353" s="227">
        <f>PAProjects[[#This Row],[GOU 21/22]]+PAProjects[[#This Row],[DONOR 21/22]]</f>
        <v>0.12</v>
      </c>
      <c r="V353" s="222">
        <v>0.13</v>
      </c>
      <c r="W353" s="222"/>
      <c r="X353" s="227">
        <f>PAProjects[[#This Row],[GOU 22/23]]+PAProjects[[#This Row],[DONOR 22/23]]</f>
        <v>0.13</v>
      </c>
      <c r="Y353" s="228">
        <v>0.27</v>
      </c>
      <c r="Z353" s="222"/>
      <c r="AA353" s="229">
        <f t="shared" si="58"/>
        <v>0.27</v>
      </c>
      <c r="AB353" s="229">
        <v>0.44</v>
      </c>
      <c r="AC353" s="222"/>
      <c r="AD353" s="227">
        <f>PAProjects[[#This Row],[GOU 24/25]]+PAProjects[[#This Row],[DONOR 24/25]]</f>
        <v>0.44</v>
      </c>
    </row>
    <row r="354" spans="1:30" x14ac:dyDescent="0.25">
      <c r="A354" s="180" t="s">
        <v>1857</v>
      </c>
      <c r="B354" s="221" t="s">
        <v>1903</v>
      </c>
      <c r="C354" s="221" t="e">
        <f ca="1">PAProjects[[#This Row],[LINKING_CODE]]=_xlfn.CONCAT(PAProjects[[#This Row],[Project Code]]," ",PAProjects[[#This Row],[Project Name]])</f>
        <v>#NAME?</v>
      </c>
      <c r="D354" s="221" t="e">
        <f>VLOOKUP(PAProjects[[#This Row],[LINKING_CODE]],MasterTable[[Project Code and Name ]],1,FALSE)</f>
        <v>#N/A</v>
      </c>
      <c r="E354" s="175" t="s">
        <v>602</v>
      </c>
      <c r="F354" s="175" t="s">
        <v>1218</v>
      </c>
      <c r="G354" s="222" t="s">
        <v>231</v>
      </c>
      <c r="H354" s="221" t="str">
        <f>VLOOKUP(I354,'Program Codes'!C:D,2,FALSE)</f>
        <v>13</v>
      </c>
      <c r="I354" s="175" t="s">
        <v>1113</v>
      </c>
      <c r="J354" s="223" t="s">
        <v>1818</v>
      </c>
      <c r="K354" s="222" t="s">
        <v>1775</v>
      </c>
      <c r="L354" s="221" t="str">
        <f t="shared" si="56"/>
        <v>Retooling</v>
      </c>
      <c r="M354" s="182">
        <v>44378</v>
      </c>
      <c r="N354" s="182">
        <v>45838</v>
      </c>
      <c r="O354" s="174">
        <v>0.96</v>
      </c>
      <c r="P354" s="224">
        <v>0</v>
      </c>
      <c r="Q354" s="224">
        <f t="shared" si="57"/>
        <v>0.96</v>
      </c>
      <c r="R354" s="225">
        <v>0</v>
      </c>
      <c r="S354" s="226">
        <v>0.12</v>
      </c>
      <c r="T354" s="226"/>
      <c r="U354" s="227">
        <f>PAProjects[[#This Row],[GOU 21/22]]+PAProjects[[#This Row],[DONOR 21/22]]</f>
        <v>0.12</v>
      </c>
      <c r="V354" s="222">
        <v>0.13</v>
      </c>
      <c r="W354" s="222"/>
      <c r="X354" s="227">
        <f>PAProjects[[#This Row],[GOU 22/23]]+PAProjects[[#This Row],[DONOR 22/23]]</f>
        <v>0.13</v>
      </c>
      <c r="Y354" s="228">
        <v>0.27</v>
      </c>
      <c r="Z354" s="222"/>
      <c r="AA354" s="229">
        <f t="shared" si="58"/>
        <v>0.27</v>
      </c>
      <c r="AB354" s="229">
        <v>0.44</v>
      </c>
      <c r="AC354" s="222"/>
      <c r="AD354" s="227">
        <f>PAProjects[[#This Row],[GOU 24/25]]+PAProjects[[#This Row],[DONOR 24/25]]</f>
        <v>0.44</v>
      </c>
    </row>
    <row r="355" spans="1:30" x14ac:dyDescent="0.25">
      <c r="A355" s="180" t="s">
        <v>1858</v>
      </c>
      <c r="B355" s="221" t="s">
        <v>1904</v>
      </c>
      <c r="C355" s="221" t="e">
        <f ca="1">PAProjects[[#This Row],[LINKING_CODE]]=_xlfn.CONCAT(PAProjects[[#This Row],[Project Code]]," ",PAProjects[[#This Row],[Project Name]])</f>
        <v>#NAME?</v>
      </c>
      <c r="D355" s="221" t="e">
        <f>VLOOKUP(PAProjects[[#This Row],[LINKING_CODE]],MasterTable[[Project Code and Name ]],1,FALSE)</f>
        <v>#N/A</v>
      </c>
      <c r="E355" s="175" t="s">
        <v>603</v>
      </c>
      <c r="F355" s="175" t="s">
        <v>1218</v>
      </c>
      <c r="G355" s="222" t="s">
        <v>204</v>
      </c>
      <c r="H355" s="221" t="str">
        <f>VLOOKUP(I355,'Program Codes'!C:D,2,FALSE)</f>
        <v>13</v>
      </c>
      <c r="I355" s="175" t="s">
        <v>1113</v>
      </c>
      <c r="J355" s="223" t="s">
        <v>1819</v>
      </c>
      <c r="K355" s="222" t="s">
        <v>1776</v>
      </c>
      <c r="L355" s="221" t="str">
        <f t="shared" si="56"/>
        <v>Retooling</v>
      </c>
      <c r="M355" s="182">
        <v>44378</v>
      </c>
      <c r="N355" s="182">
        <v>45838</v>
      </c>
      <c r="O355" s="174">
        <v>0.96</v>
      </c>
      <c r="P355" s="224">
        <v>0</v>
      </c>
      <c r="Q355" s="224">
        <f t="shared" si="57"/>
        <v>0.96</v>
      </c>
      <c r="R355" s="225">
        <v>0</v>
      </c>
      <c r="S355" s="226">
        <v>0.12</v>
      </c>
      <c r="T355" s="226"/>
      <c r="U355" s="227">
        <f>PAProjects[[#This Row],[GOU 21/22]]+PAProjects[[#This Row],[DONOR 21/22]]</f>
        <v>0.12</v>
      </c>
      <c r="V355" s="222">
        <v>0.13</v>
      </c>
      <c r="W355" s="222"/>
      <c r="X355" s="227">
        <f>PAProjects[[#This Row],[GOU 22/23]]+PAProjects[[#This Row],[DONOR 22/23]]</f>
        <v>0.13</v>
      </c>
      <c r="Y355" s="228">
        <v>0.27</v>
      </c>
      <c r="Z355" s="222"/>
      <c r="AA355" s="229">
        <f t="shared" si="58"/>
        <v>0.27</v>
      </c>
      <c r="AB355" s="229">
        <v>0.44</v>
      </c>
      <c r="AC355" s="222"/>
      <c r="AD355" s="227">
        <f>PAProjects[[#This Row],[GOU 24/25]]+PAProjects[[#This Row],[DONOR 24/25]]</f>
        <v>0.44</v>
      </c>
    </row>
    <row r="356" spans="1:30" x14ac:dyDescent="0.25">
      <c r="A356" s="180" t="s">
        <v>1859</v>
      </c>
      <c r="B356" s="221" t="s">
        <v>1905</v>
      </c>
      <c r="C356" s="221" t="e">
        <f ca="1">PAProjects[[#This Row],[LINKING_CODE]]=_xlfn.CONCAT(PAProjects[[#This Row],[Project Code]]," ",PAProjects[[#This Row],[Project Name]])</f>
        <v>#NAME?</v>
      </c>
      <c r="D356" s="221" t="e">
        <f>VLOOKUP(PAProjects[[#This Row],[LINKING_CODE]],MasterTable[[Project Code and Name ]],1,FALSE)</f>
        <v>#N/A</v>
      </c>
      <c r="E356" s="175" t="s">
        <v>604</v>
      </c>
      <c r="F356" s="175" t="s">
        <v>1218</v>
      </c>
      <c r="G356" s="222" t="s">
        <v>226</v>
      </c>
      <c r="H356" s="221" t="str">
        <f>VLOOKUP(I356,'Program Codes'!C:D,2,FALSE)</f>
        <v>13</v>
      </c>
      <c r="I356" s="175" t="s">
        <v>1113</v>
      </c>
      <c r="J356" s="223" t="s">
        <v>1820</v>
      </c>
      <c r="K356" s="222" t="s">
        <v>1777</v>
      </c>
      <c r="L356" s="221" t="str">
        <f t="shared" si="56"/>
        <v>Retooling</v>
      </c>
      <c r="M356" s="182">
        <v>44378</v>
      </c>
      <c r="N356" s="182">
        <v>45838</v>
      </c>
      <c r="O356" s="174">
        <v>0.96</v>
      </c>
      <c r="P356" s="224">
        <v>0</v>
      </c>
      <c r="Q356" s="224">
        <f t="shared" si="57"/>
        <v>0.96</v>
      </c>
      <c r="R356" s="225">
        <v>0</v>
      </c>
      <c r="S356" s="226">
        <v>0.12</v>
      </c>
      <c r="T356" s="226"/>
      <c r="U356" s="227">
        <f>PAProjects[[#This Row],[GOU 21/22]]+PAProjects[[#This Row],[DONOR 21/22]]</f>
        <v>0.12</v>
      </c>
      <c r="V356" s="222">
        <v>0.13</v>
      </c>
      <c r="W356" s="222"/>
      <c r="X356" s="227">
        <f>PAProjects[[#This Row],[GOU 22/23]]+PAProjects[[#This Row],[DONOR 22/23]]</f>
        <v>0.13</v>
      </c>
      <c r="Y356" s="228">
        <v>0.27</v>
      </c>
      <c r="Z356" s="222"/>
      <c r="AA356" s="229">
        <f t="shared" si="58"/>
        <v>0.27</v>
      </c>
      <c r="AB356" s="229">
        <v>0.44</v>
      </c>
      <c r="AC356" s="222"/>
      <c r="AD356" s="227">
        <f>PAProjects[[#This Row],[GOU 24/25]]+PAProjects[[#This Row],[DONOR 24/25]]</f>
        <v>0.44</v>
      </c>
    </row>
    <row r="357" spans="1:30" x14ac:dyDescent="0.25">
      <c r="A357" s="180" t="s">
        <v>1860</v>
      </c>
      <c r="B357" s="221" t="s">
        <v>1906</v>
      </c>
      <c r="C357" s="221" t="e">
        <f ca="1">PAProjects[[#This Row],[LINKING_CODE]]=_xlfn.CONCAT(PAProjects[[#This Row],[Project Code]]," ",PAProjects[[#This Row],[Project Name]])</f>
        <v>#NAME?</v>
      </c>
      <c r="D357" s="221" t="e">
        <f>VLOOKUP(PAProjects[[#This Row],[LINKING_CODE]],MasterTable[[Project Code and Name ]],1,FALSE)</f>
        <v>#N/A</v>
      </c>
      <c r="E357" s="175" t="s">
        <v>605</v>
      </c>
      <c r="F357" s="175" t="s">
        <v>1218</v>
      </c>
      <c r="G357" s="222" t="s">
        <v>218</v>
      </c>
      <c r="H357" s="221" t="str">
        <f>VLOOKUP(I357,'Program Codes'!C:D,2,FALSE)</f>
        <v>13</v>
      </c>
      <c r="I357" s="175" t="s">
        <v>1113</v>
      </c>
      <c r="J357" s="223" t="s">
        <v>1821</v>
      </c>
      <c r="K357" s="222" t="s">
        <v>1778</v>
      </c>
      <c r="L357" s="221" t="str">
        <f t="shared" si="56"/>
        <v>Retooling</v>
      </c>
      <c r="M357" s="182">
        <v>44378</v>
      </c>
      <c r="N357" s="182">
        <v>45838</v>
      </c>
      <c r="O357" s="174">
        <v>0.96</v>
      </c>
      <c r="P357" s="224">
        <v>0</v>
      </c>
      <c r="Q357" s="224">
        <f t="shared" si="57"/>
        <v>0.96</v>
      </c>
      <c r="R357" s="225">
        <v>0</v>
      </c>
      <c r="S357" s="226">
        <v>0.12</v>
      </c>
      <c r="T357" s="226"/>
      <c r="U357" s="227">
        <f>PAProjects[[#This Row],[GOU 21/22]]+PAProjects[[#This Row],[DONOR 21/22]]</f>
        <v>0.12</v>
      </c>
      <c r="V357" s="222">
        <v>0.13</v>
      </c>
      <c r="W357" s="222"/>
      <c r="X357" s="227">
        <f>PAProjects[[#This Row],[GOU 22/23]]+PAProjects[[#This Row],[DONOR 22/23]]</f>
        <v>0.13</v>
      </c>
      <c r="Y357" s="228">
        <v>0.27</v>
      </c>
      <c r="Z357" s="222"/>
      <c r="AA357" s="229">
        <f t="shared" si="58"/>
        <v>0.27</v>
      </c>
      <c r="AB357" s="229">
        <v>0.44</v>
      </c>
      <c r="AC357" s="222"/>
      <c r="AD357" s="227">
        <f>PAProjects[[#This Row],[GOU 24/25]]+PAProjects[[#This Row],[DONOR 24/25]]</f>
        <v>0.44</v>
      </c>
    </row>
    <row r="358" spans="1:30" x14ac:dyDescent="0.25">
      <c r="A358" s="180" t="s">
        <v>1861</v>
      </c>
      <c r="B358" s="221" t="s">
        <v>1907</v>
      </c>
      <c r="C358" s="221" t="e">
        <f ca="1">PAProjects[[#This Row],[LINKING_CODE]]=_xlfn.CONCAT(PAProjects[[#This Row],[Project Code]]," ",PAProjects[[#This Row],[Project Name]])</f>
        <v>#NAME?</v>
      </c>
      <c r="D358" s="221" t="e">
        <f>VLOOKUP(PAProjects[[#This Row],[LINKING_CODE]],MasterTable[[Project Code and Name ]],1,FALSE)</f>
        <v>#N/A</v>
      </c>
      <c r="E358" s="175" t="s">
        <v>607</v>
      </c>
      <c r="F358" s="175" t="s">
        <v>1218</v>
      </c>
      <c r="G358" s="222" t="s">
        <v>217</v>
      </c>
      <c r="H358" s="221" t="str">
        <f>VLOOKUP(I358,'Program Codes'!C:D,2,FALSE)</f>
        <v>13</v>
      </c>
      <c r="I358" s="175" t="s">
        <v>1113</v>
      </c>
      <c r="J358" s="223" t="s">
        <v>1822</v>
      </c>
      <c r="K358" s="222" t="s">
        <v>1779</v>
      </c>
      <c r="L358" s="221" t="str">
        <f t="shared" si="56"/>
        <v>Retooling</v>
      </c>
      <c r="M358" s="182">
        <v>44378</v>
      </c>
      <c r="N358" s="182">
        <v>45838</v>
      </c>
      <c r="O358" s="174">
        <v>0.96</v>
      </c>
      <c r="P358" s="224">
        <v>0</v>
      </c>
      <c r="Q358" s="224">
        <f t="shared" si="57"/>
        <v>0.96</v>
      </c>
      <c r="R358" s="225">
        <v>0</v>
      </c>
      <c r="S358" s="226">
        <v>0.12</v>
      </c>
      <c r="T358" s="226"/>
      <c r="U358" s="227">
        <f>PAProjects[[#This Row],[GOU 21/22]]+PAProjects[[#This Row],[DONOR 21/22]]</f>
        <v>0.12</v>
      </c>
      <c r="V358" s="222">
        <v>0.13</v>
      </c>
      <c r="W358" s="222"/>
      <c r="X358" s="227">
        <f>PAProjects[[#This Row],[GOU 22/23]]+PAProjects[[#This Row],[DONOR 22/23]]</f>
        <v>0.13</v>
      </c>
      <c r="Y358" s="228">
        <v>0.27</v>
      </c>
      <c r="Z358" s="222"/>
      <c r="AA358" s="229">
        <f t="shared" si="58"/>
        <v>0.27</v>
      </c>
      <c r="AB358" s="229">
        <v>0.44</v>
      </c>
      <c r="AC358" s="222"/>
      <c r="AD358" s="227">
        <f>PAProjects[[#This Row],[GOU 24/25]]+PAProjects[[#This Row],[DONOR 24/25]]</f>
        <v>0.44</v>
      </c>
    </row>
    <row r="359" spans="1:30" x14ac:dyDescent="0.25">
      <c r="A359" s="180" t="s">
        <v>1862</v>
      </c>
      <c r="B359" s="221" t="s">
        <v>1908</v>
      </c>
      <c r="C359" s="221" t="e">
        <f ca="1">PAProjects[[#This Row],[LINKING_CODE]]=_xlfn.CONCAT(PAProjects[[#This Row],[Project Code]]," ",PAProjects[[#This Row],[Project Name]])</f>
        <v>#NAME?</v>
      </c>
      <c r="D359" s="221" t="e">
        <f>VLOOKUP(PAProjects[[#This Row],[LINKING_CODE]],MasterTable[[Project Code and Name ]],1,FALSE)</f>
        <v>#N/A</v>
      </c>
      <c r="E359" s="175" t="s">
        <v>609</v>
      </c>
      <c r="F359" s="175" t="s">
        <v>1218</v>
      </c>
      <c r="G359" s="222" t="s">
        <v>227</v>
      </c>
      <c r="H359" s="221" t="str">
        <f>VLOOKUP(I359,'Program Codes'!C:D,2,FALSE)</f>
        <v>13</v>
      </c>
      <c r="I359" s="175" t="s">
        <v>1113</v>
      </c>
      <c r="J359" s="223" t="s">
        <v>1823</v>
      </c>
      <c r="K359" s="222" t="s">
        <v>1780</v>
      </c>
      <c r="L359" s="221" t="str">
        <f t="shared" si="56"/>
        <v>Retooling</v>
      </c>
      <c r="M359" s="182">
        <v>44378</v>
      </c>
      <c r="N359" s="182">
        <v>45838</v>
      </c>
      <c r="O359" s="174">
        <v>0.96</v>
      </c>
      <c r="P359" s="224">
        <v>0</v>
      </c>
      <c r="Q359" s="224">
        <f t="shared" si="57"/>
        <v>0.96</v>
      </c>
      <c r="R359" s="225">
        <v>0</v>
      </c>
      <c r="S359" s="226">
        <v>0.12</v>
      </c>
      <c r="T359" s="226"/>
      <c r="U359" s="227">
        <f>PAProjects[[#This Row],[GOU 21/22]]+PAProjects[[#This Row],[DONOR 21/22]]</f>
        <v>0.12</v>
      </c>
      <c r="V359" s="222">
        <v>0.13</v>
      </c>
      <c r="W359" s="222"/>
      <c r="X359" s="227">
        <f>PAProjects[[#This Row],[GOU 22/23]]+PAProjects[[#This Row],[DONOR 22/23]]</f>
        <v>0.13</v>
      </c>
      <c r="Y359" s="228">
        <v>0.27</v>
      </c>
      <c r="Z359" s="222"/>
      <c r="AA359" s="229">
        <f t="shared" si="58"/>
        <v>0.27</v>
      </c>
      <c r="AB359" s="229">
        <v>0.44</v>
      </c>
      <c r="AC359" s="222"/>
      <c r="AD359" s="227">
        <f>PAProjects[[#This Row],[GOU 24/25]]+PAProjects[[#This Row],[DONOR 24/25]]</f>
        <v>0.44</v>
      </c>
    </row>
    <row r="360" spans="1:30" x14ac:dyDescent="0.25">
      <c r="A360" s="180" t="s">
        <v>1863</v>
      </c>
      <c r="B360" s="221" t="s">
        <v>1909</v>
      </c>
      <c r="C360" s="221" t="e">
        <f ca="1">PAProjects[[#This Row],[LINKING_CODE]]=_xlfn.CONCAT(PAProjects[[#This Row],[Project Code]]," ",PAProjects[[#This Row],[Project Name]])</f>
        <v>#NAME?</v>
      </c>
      <c r="D360" s="221" t="e">
        <f>VLOOKUP(PAProjects[[#This Row],[LINKING_CODE]],MasterTable[[Project Code and Name ]],1,FALSE)</f>
        <v>#N/A</v>
      </c>
      <c r="E360" s="175" t="s">
        <v>611</v>
      </c>
      <c r="F360" s="175" t="s">
        <v>1218</v>
      </c>
      <c r="G360" s="222" t="s">
        <v>201</v>
      </c>
      <c r="H360" s="221" t="str">
        <f>VLOOKUP(I360,'Program Codes'!C:D,2,FALSE)</f>
        <v>13</v>
      </c>
      <c r="I360" s="175" t="s">
        <v>1113</v>
      </c>
      <c r="J360" s="223" t="s">
        <v>1824</v>
      </c>
      <c r="K360" s="222" t="s">
        <v>1781</v>
      </c>
      <c r="L360" s="221" t="str">
        <f t="shared" si="56"/>
        <v>Retooling</v>
      </c>
      <c r="M360" s="182">
        <v>44378</v>
      </c>
      <c r="N360" s="182">
        <v>45838</v>
      </c>
      <c r="O360" s="174">
        <v>0.96</v>
      </c>
      <c r="P360" s="224">
        <v>0</v>
      </c>
      <c r="Q360" s="224">
        <f t="shared" si="57"/>
        <v>0.96</v>
      </c>
      <c r="R360" s="225">
        <v>0</v>
      </c>
      <c r="S360" s="226">
        <v>0.12</v>
      </c>
      <c r="T360" s="226"/>
      <c r="U360" s="227">
        <f>PAProjects[[#This Row],[GOU 21/22]]+PAProjects[[#This Row],[DONOR 21/22]]</f>
        <v>0.12</v>
      </c>
      <c r="V360" s="222">
        <v>0.13</v>
      </c>
      <c r="W360" s="222"/>
      <c r="X360" s="227">
        <f>PAProjects[[#This Row],[GOU 22/23]]+PAProjects[[#This Row],[DONOR 22/23]]</f>
        <v>0.13</v>
      </c>
      <c r="Y360" s="228">
        <v>0.27</v>
      </c>
      <c r="Z360" s="222"/>
      <c r="AA360" s="229">
        <f t="shared" si="58"/>
        <v>0.27</v>
      </c>
      <c r="AB360" s="229">
        <v>0.44</v>
      </c>
      <c r="AC360" s="222"/>
      <c r="AD360" s="227">
        <f>PAProjects[[#This Row],[GOU 24/25]]+PAProjects[[#This Row],[DONOR 24/25]]</f>
        <v>0.44</v>
      </c>
    </row>
    <row r="361" spans="1:30" x14ac:dyDescent="0.25">
      <c r="A361" s="180" t="s">
        <v>1864</v>
      </c>
      <c r="B361" s="221" t="s">
        <v>1910</v>
      </c>
      <c r="C361" s="221" t="e">
        <f ca="1">PAProjects[[#This Row],[LINKING_CODE]]=_xlfn.CONCAT(PAProjects[[#This Row],[Project Code]]," ",PAProjects[[#This Row],[Project Name]])</f>
        <v>#NAME?</v>
      </c>
      <c r="D361" s="221" t="e">
        <f>VLOOKUP(PAProjects[[#This Row],[LINKING_CODE]],MasterTable[[Project Code and Name ]],1,FALSE)</f>
        <v>#N/A</v>
      </c>
      <c r="E361" s="175" t="s">
        <v>613</v>
      </c>
      <c r="F361" s="175" t="s">
        <v>1218</v>
      </c>
      <c r="G361" s="222" t="s">
        <v>219</v>
      </c>
      <c r="H361" s="221" t="str">
        <f>VLOOKUP(I361,'Program Codes'!C:D,2,FALSE)</f>
        <v>13</v>
      </c>
      <c r="I361" s="175" t="s">
        <v>1113</v>
      </c>
      <c r="J361" s="223" t="s">
        <v>1825</v>
      </c>
      <c r="K361" s="222" t="s">
        <v>1782</v>
      </c>
      <c r="L361" s="221" t="str">
        <f t="shared" si="56"/>
        <v>Retooling</v>
      </c>
      <c r="M361" s="182">
        <v>44378</v>
      </c>
      <c r="N361" s="182">
        <v>45838</v>
      </c>
      <c r="O361" s="174">
        <v>1.1599999999999999</v>
      </c>
      <c r="P361" s="224">
        <v>0</v>
      </c>
      <c r="Q361" s="224">
        <f t="shared" si="57"/>
        <v>1.1599999999999999</v>
      </c>
      <c r="R361" s="225">
        <v>0</v>
      </c>
      <c r="S361" s="226">
        <v>0.47</v>
      </c>
      <c r="T361" s="226"/>
      <c r="U361" s="227">
        <f>PAProjects[[#This Row],[GOU 21/22]]+PAProjects[[#This Row],[DONOR 21/22]]</f>
        <v>0.47</v>
      </c>
      <c r="V361" s="222">
        <v>0.13</v>
      </c>
      <c r="W361" s="222"/>
      <c r="X361" s="227">
        <f>PAProjects[[#This Row],[GOU 22/23]]+PAProjects[[#This Row],[DONOR 22/23]]</f>
        <v>0.13</v>
      </c>
      <c r="Y361" s="228">
        <v>0.12</v>
      </c>
      <c r="Z361" s="222"/>
      <c r="AA361" s="229">
        <f t="shared" si="58"/>
        <v>0.12</v>
      </c>
      <c r="AB361" s="229">
        <v>0.44</v>
      </c>
      <c r="AC361" s="222"/>
      <c r="AD361" s="227">
        <f>PAProjects[[#This Row],[GOU 24/25]]+PAProjects[[#This Row],[DONOR 24/25]]</f>
        <v>0.44</v>
      </c>
    </row>
    <row r="362" spans="1:30" x14ac:dyDescent="0.25">
      <c r="A362" s="180" t="s">
        <v>1865</v>
      </c>
      <c r="B362" s="221" t="s">
        <v>1911</v>
      </c>
      <c r="C362" s="221" t="e">
        <f ca="1">PAProjects[[#This Row],[LINKING_CODE]]=_xlfn.CONCAT(PAProjects[[#This Row],[Project Code]]," ",PAProjects[[#This Row],[Project Name]])</f>
        <v>#NAME?</v>
      </c>
      <c r="D362" s="221" t="e">
        <f>VLOOKUP(PAProjects[[#This Row],[LINKING_CODE]],MasterTable[[Project Code and Name ]],1,FALSE)</f>
        <v>#N/A</v>
      </c>
      <c r="E362" s="175" t="s">
        <v>614</v>
      </c>
      <c r="F362" s="175" t="s">
        <v>1218</v>
      </c>
      <c r="G362" s="222" t="s">
        <v>224</v>
      </c>
      <c r="H362" s="221" t="str">
        <f>VLOOKUP(I362,'Program Codes'!C:D,2,FALSE)</f>
        <v>13</v>
      </c>
      <c r="I362" s="175" t="s">
        <v>1113</v>
      </c>
      <c r="J362" s="223" t="s">
        <v>1826</v>
      </c>
      <c r="K362" s="222" t="s">
        <v>1783</v>
      </c>
      <c r="L362" s="221" t="str">
        <f t="shared" si="56"/>
        <v>Retooling</v>
      </c>
      <c r="M362" s="182">
        <v>44378</v>
      </c>
      <c r="N362" s="182">
        <v>45838</v>
      </c>
      <c r="O362" s="174">
        <v>1.23</v>
      </c>
      <c r="P362" s="224">
        <v>0</v>
      </c>
      <c r="Q362" s="224">
        <f t="shared" si="57"/>
        <v>1.23</v>
      </c>
      <c r="R362" s="225">
        <v>0</v>
      </c>
      <c r="S362" s="226">
        <v>0.47</v>
      </c>
      <c r="T362" s="226"/>
      <c r="U362" s="227">
        <f>PAProjects[[#This Row],[GOU 21/22]]+PAProjects[[#This Row],[DONOR 21/22]]</f>
        <v>0.47</v>
      </c>
      <c r="V362" s="222">
        <v>0.1</v>
      </c>
      <c r="W362" s="222"/>
      <c r="X362" s="227">
        <f>PAProjects[[#This Row],[GOU 22/23]]+PAProjects[[#This Row],[DONOR 22/23]]</f>
        <v>0.1</v>
      </c>
      <c r="Y362" s="228">
        <v>0.26</v>
      </c>
      <c r="Z362" s="222"/>
      <c r="AA362" s="229">
        <f t="shared" si="58"/>
        <v>0.26</v>
      </c>
      <c r="AB362" s="229">
        <v>0.4</v>
      </c>
      <c r="AC362" s="222"/>
      <c r="AD362" s="227">
        <f>PAProjects[[#This Row],[GOU 24/25]]+PAProjects[[#This Row],[DONOR 24/25]]</f>
        <v>0.4</v>
      </c>
    </row>
    <row r="363" spans="1:30" x14ac:dyDescent="0.25">
      <c r="A363" s="180" t="s">
        <v>1866</v>
      </c>
      <c r="B363" s="221" t="s">
        <v>1912</v>
      </c>
      <c r="C363" s="221" t="e">
        <f ca="1">PAProjects[[#This Row],[LINKING_CODE]]=_xlfn.CONCAT(PAProjects[[#This Row],[Project Code]]," ",PAProjects[[#This Row],[Project Name]])</f>
        <v>#NAME?</v>
      </c>
      <c r="D363" s="221" t="e">
        <f>VLOOKUP(PAProjects[[#This Row],[LINKING_CODE]],MasterTable[[Project Code and Name ]],1,FALSE)</f>
        <v>#N/A</v>
      </c>
      <c r="E363" s="175" t="s">
        <v>617</v>
      </c>
      <c r="F363" s="175" t="s">
        <v>1218</v>
      </c>
      <c r="G363" s="222" t="s">
        <v>203</v>
      </c>
      <c r="H363" s="221" t="str">
        <f>VLOOKUP(I363,'Program Codes'!C:D,2,FALSE)</f>
        <v>13</v>
      </c>
      <c r="I363" s="175" t="s">
        <v>1113</v>
      </c>
      <c r="J363" s="223" t="s">
        <v>1827</v>
      </c>
      <c r="K363" s="222" t="s">
        <v>1784</v>
      </c>
      <c r="L363" s="221" t="str">
        <f t="shared" si="56"/>
        <v>Retooling</v>
      </c>
      <c r="M363" s="182">
        <v>44378</v>
      </c>
      <c r="N363" s="182">
        <v>45838</v>
      </c>
      <c r="O363" s="174">
        <v>0.96</v>
      </c>
      <c r="P363" s="224">
        <v>0</v>
      </c>
      <c r="Q363" s="224">
        <f t="shared" si="57"/>
        <v>0.96</v>
      </c>
      <c r="R363" s="225">
        <v>0</v>
      </c>
      <c r="S363" s="226">
        <v>0.12</v>
      </c>
      <c r="T363" s="226"/>
      <c r="U363" s="227">
        <f>PAProjects[[#This Row],[GOU 21/22]]+PAProjects[[#This Row],[DONOR 21/22]]</f>
        <v>0.12</v>
      </c>
      <c r="V363" s="222">
        <v>0.13</v>
      </c>
      <c r="W363" s="222"/>
      <c r="X363" s="227">
        <f>PAProjects[[#This Row],[GOU 22/23]]+PAProjects[[#This Row],[DONOR 22/23]]</f>
        <v>0.13</v>
      </c>
      <c r="Y363" s="228">
        <v>0.27</v>
      </c>
      <c r="Z363" s="222"/>
      <c r="AA363" s="229">
        <f t="shared" si="58"/>
        <v>0.27</v>
      </c>
      <c r="AB363" s="229">
        <v>0.44</v>
      </c>
      <c r="AC363" s="222"/>
      <c r="AD363" s="227">
        <f>PAProjects[[#This Row],[GOU 24/25]]+PAProjects[[#This Row],[DONOR 24/25]]</f>
        <v>0.44</v>
      </c>
    </row>
    <row r="364" spans="1:30" x14ac:dyDescent="0.25">
      <c r="A364" s="180" t="s">
        <v>1867</v>
      </c>
      <c r="B364" s="221" t="s">
        <v>1913</v>
      </c>
      <c r="C364" s="221" t="e">
        <f ca="1">PAProjects[[#This Row],[LINKING_CODE]]=_xlfn.CONCAT(PAProjects[[#This Row],[Project Code]]," ",PAProjects[[#This Row],[Project Name]])</f>
        <v>#NAME?</v>
      </c>
      <c r="D364" s="221" t="e">
        <f>VLOOKUP(PAProjects[[#This Row],[LINKING_CODE]],MasterTable[[Project Code and Name ]],1,FALSE)</f>
        <v>#N/A</v>
      </c>
      <c r="E364" s="175" t="s">
        <v>620</v>
      </c>
      <c r="F364" s="175" t="s">
        <v>1218</v>
      </c>
      <c r="G364" s="222" t="s">
        <v>230</v>
      </c>
      <c r="H364" s="221" t="str">
        <f>VLOOKUP(I364,'Program Codes'!C:D,2,FALSE)</f>
        <v>13</v>
      </c>
      <c r="I364" s="175" t="s">
        <v>1113</v>
      </c>
      <c r="J364" s="223" t="s">
        <v>1828</v>
      </c>
      <c r="K364" s="222" t="s">
        <v>1785</v>
      </c>
      <c r="L364" s="221" t="str">
        <f t="shared" si="56"/>
        <v>Retooling</v>
      </c>
      <c r="M364" s="182">
        <v>44378</v>
      </c>
      <c r="N364" s="182">
        <v>45838</v>
      </c>
      <c r="O364" s="174">
        <v>0.96</v>
      </c>
      <c r="P364" s="224">
        <v>0</v>
      </c>
      <c r="Q364" s="224">
        <f t="shared" si="57"/>
        <v>0.96</v>
      </c>
      <c r="R364" s="225">
        <v>0</v>
      </c>
      <c r="S364" s="226">
        <v>0.12</v>
      </c>
      <c r="T364" s="226"/>
      <c r="U364" s="227">
        <f>PAProjects[[#This Row],[GOU 21/22]]+PAProjects[[#This Row],[DONOR 21/22]]</f>
        <v>0.12</v>
      </c>
      <c r="V364" s="222">
        <v>0.13</v>
      </c>
      <c r="W364" s="222"/>
      <c r="X364" s="227">
        <f>PAProjects[[#This Row],[GOU 22/23]]+PAProjects[[#This Row],[DONOR 22/23]]</f>
        <v>0.13</v>
      </c>
      <c r="Y364" s="228">
        <v>0.27</v>
      </c>
      <c r="Z364" s="222"/>
      <c r="AA364" s="229">
        <f t="shared" si="58"/>
        <v>0.27</v>
      </c>
      <c r="AB364" s="229">
        <v>0.44</v>
      </c>
      <c r="AC364" s="222"/>
      <c r="AD364" s="227">
        <f>PAProjects[[#This Row],[GOU 24/25]]+PAProjects[[#This Row],[DONOR 24/25]]</f>
        <v>0.44</v>
      </c>
    </row>
    <row r="365" spans="1:30" x14ac:dyDescent="0.25">
      <c r="A365" s="180" t="s">
        <v>1868</v>
      </c>
      <c r="B365" s="221" t="s">
        <v>1914</v>
      </c>
      <c r="C365" s="221" t="e">
        <f ca="1">PAProjects[[#This Row],[LINKING_CODE]]=_xlfn.CONCAT(PAProjects[[#This Row],[Project Code]]," ",PAProjects[[#This Row],[Project Name]])</f>
        <v>#NAME?</v>
      </c>
      <c r="D365" s="221" t="e">
        <f>VLOOKUP(PAProjects[[#This Row],[LINKING_CODE]],MasterTable[[Project Code and Name ]],1,FALSE)</f>
        <v>#N/A</v>
      </c>
      <c r="E365" s="175" t="s">
        <v>623</v>
      </c>
      <c r="F365" s="175" t="s">
        <v>1218</v>
      </c>
      <c r="G365" s="222" t="s">
        <v>210</v>
      </c>
      <c r="H365" s="221" t="str">
        <f>VLOOKUP(I365,'Program Codes'!C:D,2,FALSE)</f>
        <v>13</v>
      </c>
      <c r="I365" s="175" t="s">
        <v>1113</v>
      </c>
      <c r="J365" s="223" t="s">
        <v>1829</v>
      </c>
      <c r="K365" s="222" t="s">
        <v>1786</v>
      </c>
      <c r="L365" s="221" t="str">
        <f t="shared" si="56"/>
        <v>Retooling</v>
      </c>
      <c r="M365" s="182">
        <v>44378</v>
      </c>
      <c r="N365" s="182">
        <v>45838</v>
      </c>
      <c r="O365" s="174">
        <v>1.1100000000000001</v>
      </c>
      <c r="P365" s="224">
        <v>0</v>
      </c>
      <c r="Q365" s="224">
        <f t="shared" si="57"/>
        <v>1.1100000000000001</v>
      </c>
      <c r="R365" s="225">
        <v>0</v>
      </c>
      <c r="S365" s="226">
        <v>0.27</v>
      </c>
      <c r="T365" s="226"/>
      <c r="U365" s="227">
        <f>PAProjects[[#This Row],[GOU 21/22]]+PAProjects[[#This Row],[DONOR 21/22]]</f>
        <v>0.27</v>
      </c>
      <c r="V365" s="222">
        <v>0.13</v>
      </c>
      <c r="W365" s="222"/>
      <c r="X365" s="227">
        <f>PAProjects[[#This Row],[GOU 22/23]]+PAProjects[[#This Row],[DONOR 22/23]]</f>
        <v>0.13</v>
      </c>
      <c r="Y365" s="228">
        <v>0.27</v>
      </c>
      <c r="Z365" s="222"/>
      <c r="AA365" s="229">
        <f t="shared" si="58"/>
        <v>0.27</v>
      </c>
      <c r="AB365" s="229">
        <v>0.44</v>
      </c>
      <c r="AC365" s="222"/>
      <c r="AD365" s="227">
        <f>PAProjects[[#This Row],[GOU 24/25]]+PAProjects[[#This Row],[DONOR 24/25]]</f>
        <v>0.44</v>
      </c>
    </row>
    <row r="366" spans="1:30" x14ac:dyDescent="0.25">
      <c r="A366" s="180" t="s">
        <v>1869</v>
      </c>
      <c r="B366" s="221" t="s">
        <v>1915</v>
      </c>
      <c r="C366" s="221" t="e">
        <f ca="1">PAProjects[[#This Row],[LINKING_CODE]]=_xlfn.CONCAT(PAProjects[[#This Row],[Project Code]]," ",PAProjects[[#This Row],[Project Name]])</f>
        <v>#NAME?</v>
      </c>
      <c r="D366" s="221" t="e">
        <f>VLOOKUP(PAProjects[[#This Row],[LINKING_CODE]],MasterTable[[Project Code and Name ]],1,FALSE)</f>
        <v>#N/A</v>
      </c>
      <c r="E366" s="223" t="s">
        <v>519</v>
      </c>
      <c r="F366" s="222" t="s">
        <v>960</v>
      </c>
      <c r="G366" s="222" t="s">
        <v>321</v>
      </c>
      <c r="H366" s="221" t="str">
        <f>VLOOKUP(I366,'Program Codes'!C:D,2,FALSE)</f>
        <v>13</v>
      </c>
      <c r="I366" s="175" t="s">
        <v>1113</v>
      </c>
      <c r="J366" s="223" t="s">
        <v>1830</v>
      </c>
      <c r="K366" s="222" t="s">
        <v>1787</v>
      </c>
      <c r="L366" s="221" t="str">
        <f t="shared" si="56"/>
        <v>Retooling</v>
      </c>
      <c r="M366" s="182">
        <v>44378</v>
      </c>
      <c r="N366" s="182">
        <v>45838</v>
      </c>
      <c r="O366" s="174">
        <v>3.4790000000000001</v>
      </c>
      <c r="P366" s="224">
        <v>0</v>
      </c>
      <c r="Q366" s="224">
        <f t="shared" si="57"/>
        <v>3.4790000000000001</v>
      </c>
      <c r="R366" s="225">
        <v>0</v>
      </c>
      <c r="S366" s="226">
        <v>1.7010000000000001</v>
      </c>
      <c r="T366" s="226"/>
      <c r="U366" s="227">
        <f>PAProjects[[#This Row],[GOU 21/22]]+PAProjects[[#This Row],[DONOR 21/22]]</f>
        <v>1.7010000000000001</v>
      </c>
      <c r="V366" s="229">
        <v>1.0985</v>
      </c>
      <c r="W366" s="222"/>
      <c r="X366" s="227">
        <f>PAProjects[[#This Row],[GOU 22/23]]+PAProjects[[#This Row],[DONOR 22/23]]</f>
        <v>1.0985</v>
      </c>
      <c r="Y366" s="228">
        <v>0.67949999999999999</v>
      </c>
      <c r="Z366" s="222"/>
      <c r="AA366" s="229">
        <f t="shared" si="58"/>
        <v>0.67949999999999999</v>
      </c>
      <c r="AB366" s="229">
        <v>0</v>
      </c>
      <c r="AC366" s="222"/>
      <c r="AD366" s="227">
        <f>PAProjects[[#This Row],[GOU 24/25]]+PAProjects[[#This Row],[DONOR 24/25]]</f>
        <v>0</v>
      </c>
    </row>
    <row r="367" spans="1:30" x14ac:dyDescent="0.25">
      <c r="A367" s="180" t="s">
        <v>1870</v>
      </c>
      <c r="B367" s="221" t="s">
        <v>1916</v>
      </c>
      <c r="C367" s="221" t="e">
        <f ca="1">PAProjects[[#This Row],[LINKING_CODE]]=_xlfn.CONCAT(PAProjects[[#This Row],[Project Code]]," ",PAProjects[[#This Row],[Project Name]])</f>
        <v>#NAME?</v>
      </c>
      <c r="D367" s="221" t="e">
        <f>VLOOKUP(PAProjects[[#This Row],[LINKING_CODE]],MasterTable[[Project Code and Name ]],1,FALSE)</f>
        <v>#N/A</v>
      </c>
      <c r="E367" s="223" t="s">
        <v>520</v>
      </c>
      <c r="F367" s="222" t="s">
        <v>960</v>
      </c>
      <c r="G367" s="222" t="s">
        <v>322</v>
      </c>
      <c r="H367" s="221" t="str">
        <f>VLOOKUP(I367,'Program Codes'!C:D,2,FALSE)</f>
        <v>13</v>
      </c>
      <c r="I367" s="175" t="s">
        <v>1113</v>
      </c>
      <c r="J367" s="223" t="s">
        <v>1831</v>
      </c>
      <c r="K367" s="222" t="s">
        <v>1788</v>
      </c>
      <c r="L367" s="221" t="str">
        <f t="shared" si="56"/>
        <v>Retooling</v>
      </c>
      <c r="M367" s="182">
        <v>44378</v>
      </c>
      <c r="N367" s="182">
        <v>45838</v>
      </c>
      <c r="O367" s="174">
        <v>15.105</v>
      </c>
      <c r="P367" s="224">
        <v>0</v>
      </c>
      <c r="Q367" s="224">
        <f t="shared" si="57"/>
        <v>15.105</v>
      </c>
      <c r="R367" s="225">
        <v>0</v>
      </c>
      <c r="S367" s="226">
        <v>2.3306</v>
      </c>
      <c r="T367" s="226"/>
      <c r="U367" s="227">
        <f>PAProjects[[#This Row],[GOU 21/22]]+PAProjects[[#This Row],[DONOR 21/22]]</f>
        <v>2.3306</v>
      </c>
      <c r="V367" s="229">
        <v>3.4576500000000001</v>
      </c>
      <c r="W367" s="222"/>
      <c r="X367" s="227">
        <f>PAProjects[[#This Row],[GOU 22/23]]+PAProjects[[#This Row],[DONOR 22/23]]</f>
        <v>3.4576500000000001</v>
      </c>
      <c r="Y367" s="228">
        <v>4.4446000000000003</v>
      </c>
      <c r="Z367" s="222"/>
      <c r="AA367" s="229">
        <f t="shared" si="58"/>
        <v>4.4446000000000003</v>
      </c>
      <c r="AB367" s="229">
        <v>4.8721500000000004</v>
      </c>
      <c r="AC367" s="222"/>
      <c r="AD367" s="227">
        <f>PAProjects[[#This Row],[GOU 24/25]]+PAProjects[[#This Row],[DONOR 24/25]]</f>
        <v>4.8721500000000004</v>
      </c>
    </row>
    <row r="368" spans="1:30" x14ac:dyDescent="0.25">
      <c r="A368" s="180" t="s">
        <v>1871</v>
      </c>
      <c r="B368" s="221" t="s">
        <v>1917</v>
      </c>
      <c r="C368" s="221" t="e">
        <f ca="1">PAProjects[[#This Row],[LINKING_CODE]]=_xlfn.CONCAT(PAProjects[[#This Row],[Project Code]]," ",PAProjects[[#This Row],[Project Name]])</f>
        <v>#NAME?</v>
      </c>
      <c r="D368" s="221" t="e">
        <f>VLOOKUP(PAProjects[[#This Row],[LINKING_CODE]],MasterTable[[Project Code and Name ]],1,FALSE)</f>
        <v>#N/A</v>
      </c>
      <c r="E368" s="223" t="s">
        <v>522</v>
      </c>
      <c r="F368" s="222" t="s">
        <v>960</v>
      </c>
      <c r="G368" s="222" t="s">
        <v>319</v>
      </c>
      <c r="H368" s="221" t="str">
        <f>VLOOKUP(I368,'Program Codes'!C:D,2,FALSE)</f>
        <v>13</v>
      </c>
      <c r="I368" s="175" t="s">
        <v>1113</v>
      </c>
      <c r="J368" s="223" t="s">
        <v>1832</v>
      </c>
      <c r="K368" s="222" t="s">
        <v>1789</v>
      </c>
      <c r="L368" s="221" t="str">
        <f t="shared" si="56"/>
        <v>Retooling</v>
      </c>
      <c r="M368" s="182">
        <v>44378</v>
      </c>
      <c r="N368" s="182">
        <v>45838</v>
      </c>
      <c r="O368" s="174">
        <v>6.1565700000000003</v>
      </c>
      <c r="P368" s="224">
        <v>0</v>
      </c>
      <c r="Q368" s="224">
        <f t="shared" si="57"/>
        <v>6.1565700000000003</v>
      </c>
      <c r="R368" s="225">
        <v>0</v>
      </c>
      <c r="S368" s="226">
        <v>3.2666689999999999E-9</v>
      </c>
      <c r="T368" s="226"/>
      <c r="U368" s="227">
        <f>PAProjects[[#This Row],[GOU 21/22]]+PAProjects[[#This Row],[DONOR 21/22]]</f>
        <v>3.2666689999999999E-9</v>
      </c>
      <c r="V368" s="229">
        <v>2.88991E-9</v>
      </c>
      <c r="W368" s="222"/>
      <c r="X368" s="227">
        <f>PAProjects[[#This Row],[GOU 22/23]]+PAProjects[[#This Row],[DONOR 22/23]]</f>
        <v>2.88991E-9</v>
      </c>
      <c r="Y368" s="228">
        <v>2.88991E-9</v>
      </c>
      <c r="Z368" s="222"/>
      <c r="AA368" s="229">
        <f t="shared" si="58"/>
        <v>2.88991E-9</v>
      </c>
      <c r="AB368" s="229">
        <v>2.88991E-9</v>
      </c>
      <c r="AC368" s="222"/>
      <c r="AD368" s="227">
        <f>PAProjects[[#This Row],[GOU 24/25]]+PAProjects[[#This Row],[DONOR 24/25]]</f>
        <v>2.88991E-9</v>
      </c>
    </row>
    <row r="369" spans="1:30" x14ac:dyDescent="0.25">
      <c r="A369" s="180" t="s">
        <v>1872</v>
      </c>
      <c r="B369" s="221" t="s">
        <v>1918</v>
      </c>
      <c r="C369" s="221" t="e">
        <f ca="1">PAProjects[[#This Row],[LINKING_CODE]]=_xlfn.CONCAT(PAProjects[[#This Row],[Project Code]]," ",PAProjects[[#This Row],[Project Name]])</f>
        <v>#NAME?</v>
      </c>
      <c r="D369" s="221" t="e">
        <f>VLOOKUP(PAProjects[[#This Row],[LINKING_CODE]],MasterTable[[Project Code and Name ]],1,FALSE)</f>
        <v>#N/A</v>
      </c>
      <c r="E369" s="223" t="s">
        <v>511</v>
      </c>
      <c r="F369" s="222" t="s">
        <v>890</v>
      </c>
      <c r="G369" s="222" t="s">
        <v>221</v>
      </c>
      <c r="H369" s="221" t="str">
        <f>VLOOKUP(I369,'Program Codes'!C:D,2,FALSE)</f>
        <v>13</v>
      </c>
      <c r="I369" s="175" t="s">
        <v>1113</v>
      </c>
      <c r="J369" s="223" t="s">
        <v>1833</v>
      </c>
      <c r="K369" s="222" t="s">
        <v>1790</v>
      </c>
      <c r="L369" s="221" t="str">
        <f t="shared" si="56"/>
        <v>Retooling</v>
      </c>
      <c r="M369" s="182">
        <v>44378</v>
      </c>
      <c r="N369" s="182">
        <v>45838</v>
      </c>
      <c r="O369" s="174">
        <v>16.044274918999999</v>
      </c>
      <c r="P369" s="224">
        <v>0</v>
      </c>
      <c r="Q369" s="224">
        <f t="shared" si="57"/>
        <v>16.044274918999999</v>
      </c>
      <c r="R369" s="225">
        <v>0</v>
      </c>
      <c r="S369" s="226">
        <v>3.1158730000000001</v>
      </c>
      <c r="T369" s="226"/>
      <c r="U369" s="227">
        <f>PAProjects[[#This Row],[GOU 21/22]]+PAProjects[[#This Row],[DONOR 21/22]]</f>
        <v>3.1158730000000001</v>
      </c>
      <c r="V369" s="229">
        <v>3.8636382</v>
      </c>
      <c r="W369" s="222"/>
      <c r="X369" s="227">
        <f>PAProjects[[#This Row],[GOU 22/23]]+PAProjects[[#This Row],[DONOR 22/23]]</f>
        <v>3.8636382</v>
      </c>
      <c r="Y369" s="228">
        <v>3.9274292069999999</v>
      </c>
      <c r="Z369" s="222"/>
      <c r="AA369" s="229">
        <f t="shared" si="58"/>
        <v>3.9274292069999999</v>
      </c>
      <c r="AB369" s="229">
        <v>2.9312065010000001</v>
      </c>
      <c r="AC369" s="222"/>
      <c r="AD369" s="227">
        <f>PAProjects[[#This Row],[GOU 24/25]]+PAProjects[[#This Row],[DONOR 24/25]]</f>
        <v>2.9312065010000001</v>
      </c>
    </row>
    <row r="370" spans="1:30" x14ac:dyDescent="0.25">
      <c r="A370" s="180" t="s">
        <v>1873</v>
      </c>
      <c r="B370" s="221" t="s">
        <v>1919</v>
      </c>
      <c r="C370" s="221" t="e">
        <f ca="1">PAProjects[[#This Row],[LINKING_CODE]]=_xlfn.CONCAT(PAProjects[[#This Row],[Project Code]]," ",PAProjects[[#This Row],[Project Name]])</f>
        <v>#NAME?</v>
      </c>
      <c r="D370" s="221" t="e">
        <f>VLOOKUP(PAProjects[[#This Row],[LINKING_CODE]],MasterTable[[Project Code and Name ]],1,FALSE)</f>
        <v>#N/A</v>
      </c>
      <c r="E370" s="223" t="s">
        <v>511</v>
      </c>
      <c r="F370" s="222" t="s">
        <v>890</v>
      </c>
      <c r="G370" s="222" t="s">
        <v>125</v>
      </c>
      <c r="H370" s="221" t="str">
        <f>VLOOKUP(I370,'Program Codes'!C:D,2,FALSE)</f>
        <v>13</v>
      </c>
      <c r="I370" s="175" t="s">
        <v>1113</v>
      </c>
      <c r="J370" s="223" t="s">
        <v>1834</v>
      </c>
      <c r="K370" s="222" t="s">
        <v>1791</v>
      </c>
      <c r="L370" s="221" t="str">
        <f t="shared" si="56"/>
        <v>Retooling</v>
      </c>
      <c r="M370" s="182">
        <v>44378</v>
      </c>
      <c r="N370" s="182">
        <v>45838</v>
      </c>
      <c r="O370" s="174">
        <v>30.294499999999999</v>
      </c>
      <c r="P370" s="224">
        <v>0</v>
      </c>
      <c r="Q370" s="224">
        <f t="shared" si="57"/>
        <v>30.294499999999999</v>
      </c>
      <c r="R370" s="225">
        <v>0</v>
      </c>
      <c r="S370" s="226">
        <v>1.44913E-8</v>
      </c>
      <c r="T370" s="226"/>
      <c r="U370" s="227">
        <f>PAProjects[[#This Row],[GOU 21/22]]+PAProjects[[#This Row],[DONOR 21/22]]</f>
        <v>1.44913E-8</v>
      </c>
      <c r="V370" s="229">
        <v>6.3465999999999996E-9</v>
      </c>
      <c r="W370" s="222"/>
      <c r="X370" s="227">
        <f>PAProjects[[#This Row],[GOU 22/23]]+PAProjects[[#This Row],[DONOR 22/23]]</f>
        <v>6.3465999999999996E-9</v>
      </c>
      <c r="Y370" s="228">
        <v>4.6786E-9</v>
      </c>
      <c r="Z370" s="222"/>
      <c r="AA370" s="229">
        <f t="shared" si="58"/>
        <v>4.6786E-9</v>
      </c>
      <c r="AB370" s="229">
        <v>3.1110000000000001E-9</v>
      </c>
      <c r="AC370" s="222"/>
      <c r="AD370" s="227">
        <f>PAProjects[[#This Row],[GOU 24/25]]+PAProjects[[#This Row],[DONOR 24/25]]</f>
        <v>3.1110000000000001E-9</v>
      </c>
    </row>
    <row r="371" spans="1:30" x14ac:dyDescent="0.25">
      <c r="A371" s="180" t="s">
        <v>1874</v>
      </c>
      <c r="B371" s="221" t="s">
        <v>1920</v>
      </c>
      <c r="C371" s="221" t="e">
        <f ca="1">PAProjects[[#This Row],[LINKING_CODE]]=_xlfn.CONCAT(PAProjects[[#This Row],[Project Code]]," ",PAProjects[[#This Row],[Project Name]])</f>
        <v>#NAME?</v>
      </c>
      <c r="D371" s="221" t="e">
        <f>VLOOKUP(PAProjects[[#This Row],[LINKING_CODE]],MasterTable[[Project Code and Name ]],1,FALSE)</f>
        <v>#N/A</v>
      </c>
      <c r="E371" s="223" t="s">
        <v>513</v>
      </c>
      <c r="F371" s="222" t="s">
        <v>1089</v>
      </c>
      <c r="G371" s="222" t="s">
        <v>123</v>
      </c>
      <c r="H371" s="221" t="str">
        <f>VLOOKUP(I371,'Program Codes'!C:D,2,FALSE)</f>
        <v>13</v>
      </c>
      <c r="I371" s="175" t="s">
        <v>1113</v>
      </c>
      <c r="J371" s="223" t="s">
        <v>1835</v>
      </c>
      <c r="K371" s="222" t="s">
        <v>1792</v>
      </c>
      <c r="L371" s="221" t="str">
        <f t="shared" si="56"/>
        <v>Retooling</v>
      </c>
      <c r="M371" s="182">
        <v>44378</v>
      </c>
      <c r="N371" s="182">
        <v>45838</v>
      </c>
      <c r="O371" s="174">
        <v>10.96069825</v>
      </c>
      <c r="P371" s="224">
        <v>0</v>
      </c>
      <c r="Q371" s="224">
        <f t="shared" si="57"/>
        <v>10.96069825</v>
      </c>
      <c r="R371" s="225">
        <v>0</v>
      </c>
      <c r="S371" s="226">
        <v>3.3542252640000001</v>
      </c>
      <c r="T371" s="226"/>
      <c r="U371" s="227">
        <f>PAProjects[[#This Row],[GOU 21/22]]+PAProjects[[#This Row],[DONOR 21/22]]</f>
        <v>3.3542252640000001</v>
      </c>
      <c r="V371" s="229">
        <v>2.426992196</v>
      </c>
      <c r="W371" s="222"/>
      <c r="X371" s="227">
        <f>PAProjects[[#This Row],[GOU 22/23]]+PAProjects[[#This Row],[DONOR 22/23]]</f>
        <v>2.426992196</v>
      </c>
      <c r="Y371" s="228">
        <v>2.2394252639999999</v>
      </c>
      <c r="Z371" s="222"/>
      <c r="AA371" s="229">
        <f t="shared" si="58"/>
        <v>2.2394252639999999</v>
      </c>
      <c r="AB371" s="229">
        <v>0</v>
      </c>
      <c r="AC371" s="222"/>
      <c r="AD371" s="227">
        <f>PAProjects[[#This Row],[GOU 24/25]]+PAProjects[[#This Row],[DONOR 24/25]]</f>
        <v>0</v>
      </c>
    </row>
    <row r="372" spans="1:30" x14ac:dyDescent="0.25">
      <c r="A372" s="180" t="s">
        <v>1875</v>
      </c>
      <c r="B372" s="221" t="s">
        <v>1921</v>
      </c>
      <c r="C372" s="221" t="e">
        <f ca="1">PAProjects[[#This Row],[LINKING_CODE]]=_xlfn.CONCAT(PAProjects[[#This Row],[Project Code]]," ",PAProjects[[#This Row],[Project Name]])</f>
        <v>#NAME?</v>
      </c>
      <c r="D372" s="221" t="e">
        <f>VLOOKUP(PAProjects[[#This Row],[LINKING_CODE]],MasterTable[[Project Code and Name ]],1,FALSE)</f>
        <v>#N/A</v>
      </c>
      <c r="E372" s="223" t="s">
        <v>511</v>
      </c>
      <c r="F372" s="222" t="s">
        <v>890</v>
      </c>
      <c r="G372" s="222" t="s">
        <v>152</v>
      </c>
      <c r="H372" s="221" t="str">
        <f>VLOOKUP(I372,'Program Codes'!C:D,2,FALSE)</f>
        <v>13</v>
      </c>
      <c r="I372" s="175" t="s">
        <v>1113</v>
      </c>
      <c r="J372" s="223" t="s">
        <v>1836</v>
      </c>
      <c r="K372" s="222" t="s">
        <v>1793</v>
      </c>
      <c r="L372" s="221" t="str">
        <f t="shared" si="56"/>
        <v>Retooling</v>
      </c>
      <c r="M372" s="182">
        <v>44378</v>
      </c>
      <c r="N372" s="182">
        <v>45838</v>
      </c>
      <c r="O372" s="174">
        <v>11.5138</v>
      </c>
      <c r="P372" s="224">
        <v>0</v>
      </c>
      <c r="Q372" s="224">
        <f t="shared" si="57"/>
        <v>11.5138</v>
      </c>
      <c r="R372" s="225">
        <v>0</v>
      </c>
      <c r="S372" s="226">
        <v>2.2158000000000002</v>
      </c>
      <c r="T372" s="226"/>
      <c r="U372" s="227">
        <f>PAProjects[[#This Row],[GOU 21/22]]+PAProjects[[#This Row],[DONOR 21/22]]</f>
        <v>2.2158000000000002</v>
      </c>
      <c r="V372" s="229">
        <v>2.6560000000000001</v>
      </c>
      <c r="W372" s="222"/>
      <c r="X372" s="227">
        <f>PAProjects[[#This Row],[GOU 22/23]]+PAProjects[[#This Row],[DONOR 22/23]]</f>
        <v>2.6560000000000001</v>
      </c>
      <c r="Y372" s="228">
        <v>2.8460000000000001</v>
      </c>
      <c r="Z372" s="222"/>
      <c r="AA372" s="229">
        <f t="shared" si="58"/>
        <v>2.8460000000000001</v>
      </c>
      <c r="AB372" s="229">
        <v>2.8879999999999999</v>
      </c>
      <c r="AC372" s="222"/>
      <c r="AD372" s="227">
        <f>PAProjects[[#This Row],[GOU 24/25]]+PAProjects[[#This Row],[DONOR 24/25]]</f>
        <v>2.8879999999999999</v>
      </c>
    </row>
    <row r="373" spans="1:30" x14ac:dyDescent="0.25">
      <c r="A373" s="233"/>
      <c r="B373" s="234"/>
      <c r="C373" s="234" t="e">
        <f ca="1">SUM(C4:C372)</f>
        <v>#NAME?</v>
      </c>
      <c r="D373" s="234" t="e">
        <f>SUM(D4:D372)</f>
        <v>#N/A</v>
      </c>
      <c r="E373" s="233"/>
      <c r="F373" s="233"/>
      <c r="G373" s="233"/>
      <c r="H373" s="234"/>
      <c r="I373" s="233"/>
      <c r="J373" s="233"/>
      <c r="K373" s="233"/>
      <c r="L373" s="234"/>
      <c r="M373" s="235"/>
      <c r="N373" s="235"/>
      <c r="O373" s="236">
        <f>SUBTOTAL(109,PAProjects[G.O.U])</f>
        <v>50058.975058967357</v>
      </c>
      <c r="P373" s="236">
        <f>SUBTOTAL(109,PAProjects[Donor])</f>
        <v>568396.77773556858</v>
      </c>
      <c r="Q373" s="236">
        <f>SUBTOTAL(109,PAProjects[Total])</f>
        <v>618455.7527945349</v>
      </c>
      <c r="R373" s="237">
        <f>SUM(R4:R372)</f>
        <v>378.09946814499995</v>
      </c>
      <c r="S373" s="233">
        <f>SUBTOTAL(109,PAProjects[GOU 21/22])</f>
        <v>9528.9915095588949</v>
      </c>
      <c r="T373" s="233">
        <f>SUBTOTAL(109,PAProjects[DONOR 21/22])</f>
        <v>7741.8276345229979</v>
      </c>
      <c r="U373" s="236">
        <f>SUM(U4:U372)</f>
        <v>17270.819144081841</v>
      </c>
      <c r="V373" s="238">
        <f>SUM(V4:V372)</f>
        <v>7840.9571800952372</v>
      </c>
      <c r="W373" s="238">
        <f>SUM(W4:W372)</f>
        <v>2644.2270551610004</v>
      </c>
      <c r="X373" s="238">
        <f>SUM(X4:X372)</f>
        <v>10485.184235256203</v>
      </c>
      <c r="Y373" s="238">
        <f>SUM(Y4:Y372)</f>
        <v>7202.1411274450784</v>
      </c>
      <c r="Z373" s="238">
        <f>SUM(Z4:Z372)</f>
        <v>1661.7736816229999</v>
      </c>
      <c r="AA373" s="233">
        <f>SUM(AA4:AA372)</f>
        <v>8628.9648090680839</v>
      </c>
      <c r="AB373" s="238">
        <f>SUM(AB4:AB372)</f>
        <v>6253.9154989839844</v>
      </c>
      <c r="AC373" s="238">
        <f>SUM(AC4:AC372)</f>
        <v>1103.4627724979998</v>
      </c>
      <c r="AD373" s="238">
        <f>SUM(AD4:AD372)</f>
        <v>7357.3782714819854</v>
      </c>
    </row>
    <row r="375" spans="1:30" x14ac:dyDescent="0.25">
      <c r="S375" s="241">
        <f>SUBTOTAL(109,PAProjects[GOU 21/22])</f>
        <v>9528.9915095588949</v>
      </c>
      <c r="T375" s="241">
        <f>SUBTOTAL(109,PAProjects[DONOR 21/22])</f>
        <v>7741.8276345229979</v>
      </c>
      <c r="U375" s="241">
        <f>SUBTOTAL(109,PAProjects[Total 21/22])</f>
        <v>17270.819144081841</v>
      </c>
      <c r="V375" s="241">
        <f>SUBTOTAL(109,PAProjects[GOU 22/23])</f>
        <v>7840.9571800952372</v>
      </c>
      <c r="W375" s="241">
        <f>SUBTOTAL(109,PAProjects[DONOR 22/23])</f>
        <v>2644.2270551610004</v>
      </c>
      <c r="X375" s="241">
        <f>SUBTOTAL(109,PAProjects[Total 22/23])</f>
        <v>10485.184235256203</v>
      </c>
      <c r="Y375" s="241">
        <f>SUBTOTAL(109,PAProjects[GOU 23/24])</f>
        <v>7202.1411274450784</v>
      </c>
      <c r="Z375" s="241">
        <f>SUBTOTAL(109,PAProjects[DONOR 23/24])</f>
        <v>1661.7736816229999</v>
      </c>
      <c r="AA375" s="241">
        <f>SUBTOTAL(109,PAProjects[Total 23/24])</f>
        <v>8628.9648090680839</v>
      </c>
      <c r="AB375" s="241">
        <f>SUBTOTAL(109,PAProjects[GOU 24/25])</f>
        <v>6253.9154989839844</v>
      </c>
      <c r="AC375" s="241">
        <f>SUBTOTAL(109,PAProjects[DONOR 24/25])</f>
        <v>1103.4627724979998</v>
      </c>
      <c r="AD375" s="241">
        <f>SUBTOTAL(109,PAProjects[Total 24/25])</f>
        <v>7357.3782714819854</v>
      </c>
    </row>
  </sheetData>
  <mergeCells count="6">
    <mergeCell ref="AB2:AD2"/>
    <mergeCell ref="A1:K2"/>
    <mergeCell ref="O2:Q2"/>
    <mergeCell ref="S2:U2"/>
    <mergeCell ref="V2:X2"/>
    <mergeCell ref="Y2:AA2"/>
  </mergeCells>
  <conditionalFormatting sqref="C4:D372">
    <cfRule type="duplicateValues" dxfId="70" priority="10"/>
    <cfRule type="duplicateValues" dxfId="69" priority="11"/>
  </conditionalFormatting>
  <pageMargins left="0.7" right="0.7" top="0.75" bottom="0.75" header="0.3" footer="0.3"/>
  <pageSetup paperSize="9" orientation="portrait" horizontalDpi="300" verticalDpi="300" r:id="rId1"/>
  <legacy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25"/>
  <sheetViews>
    <sheetView zoomScaleNormal="100" workbookViewId="0">
      <pane ySplit="5" topLeftCell="A6" activePane="bottomLeft" state="frozen"/>
      <selection pane="bottomLeft" activeCell="A24" sqref="A24"/>
    </sheetView>
  </sheetViews>
  <sheetFormatPr defaultColWidth="15.5703125" defaultRowHeight="15" x14ac:dyDescent="0.25"/>
  <cols>
    <col min="1" max="1" width="7.42578125" customWidth="1"/>
    <col min="2" max="2" width="44.140625" customWidth="1"/>
    <col min="3" max="3" width="7.85546875" customWidth="1"/>
    <col min="4" max="4" width="7.140625" hidden="1" customWidth="1"/>
    <col min="5" max="5" width="8.85546875" customWidth="1"/>
    <col min="6" max="6" width="7.5703125" customWidth="1"/>
    <col min="7" max="7" width="8.42578125" customWidth="1"/>
    <col min="8" max="8" width="8.7109375" bestFit="1" customWidth="1"/>
    <col min="9" max="9" width="10.28515625" customWidth="1"/>
    <col min="10" max="10" width="6.42578125" customWidth="1"/>
    <col min="11" max="11" width="10" customWidth="1"/>
    <col min="12" max="12" width="8" customWidth="1"/>
    <col min="13" max="13" width="9.42578125" customWidth="1"/>
    <col min="14" max="14" width="7.7109375" bestFit="1" customWidth="1"/>
  </cols>
  <sheetData>
    <row r="1" spans="1:19" x14ac:dyDescent="0.25">
      <c r="A1" s="162" t="s">
        <v>1681</v>
      </c>
      <c r="B1" s="162"/>
      <c r="C1" s="162"/>
      <c r="D1" s="162"/>
      <c r="E1" s="162"/>
      <c r="F1" s="162"/>
      <c r="G1" s="162"/>
      <c r="H1" s="162"/>
      <c r="I1" s="162"/>
      <c r="J1" s="162"/>
      <c r="K1" s="162"/>
      <c r="L1" s="162"/>
      <c r="M1" s="162"/>
      <c r="N1" s="162"/>
    </row>
    <row r="2" spans="1:19" x14ac:dyDescent="0.25">
      <c r="A2" s="66"/>
    </row>
    <row r="3" spans="1:19" s="67" customFormat="1" x14ac:dyDescent="0.25">
      <c r="C3" s="74" t="s">
        <v>1499</v>
      </c>
      <c r="D3" s="74"/>
      <c r="E3" s="78" t="s">
        <v>1621</v>
      </c>
      <c r="F3" s="78"/>
      <c r="G3" s="72" t="s">
        <v>1622</v>
      </c>
      <c r="H3" s="72"/>
      <c r="I3" s="73" t="s">
        <v>1623</v>
      </c>
      <c r="J3" s="73"/>
      <c r="K3" s="72" t="s">
        <v>1624</v>
      </c>
      <c r="L3" s="72"/>
      <c r="M3" s="73" t="s">
        <v>1625</v>
      </c>
      <c r="N3" s="73"/>
      <c r="O3"/>
      <c r="P3"/>
      <c r="Q3"/>
      <c r="R3"/>
      <c r="S3"/>
    </row>
    <row r="4" spans="1:19" s="68" customFormat="1" x14ac:dyDescent="0.25">
      <c r="A4"/>
      <c r="B4"/>
      <c r="C4" s="75" t="s">
        <v>1619</v>
      </c>
      <c r="D4" s="75" t="s">
        <v>1620</v>
      </c>
      <c r="E4" s="76" t="s">
        <v>1619</v>
      </c>
      <c r="F4" s="76" t="s">
        <v>1620</v>
      </c>
      <c r="G4" s="77" t="s">
        <v>1619</v>
      </c>
      <c r="H4" s="77" t="s">
        <v>1620</v>
      </c>
      <c r="I4" s="76" t="s">
        <v>1619</v>
      </c>
      <c r="J4" s="76" t="s">
        <v>1620</v>
      </c>
      <c r="K4" s="77" t="s">
        <v>1619</v>
      </c>
      <c r="L4" s="77" t="s">
        <v>1620</v>
      </c>
      <c r="M4" s="76" t="s">
        <v>1619</v>
      </c>
      <c r="N4" s="76" t="s">
        <v>1620</v>
      </c>
      <c r="O4" s="69"/>
      <c r="P4" s="69"/>
      <c r="Q4" s="69"/>
      <c r="R4" s="69"/>
      <c r="S4" s="69"/>
    </row>
    <row r="5" spans="1:19" s="68" customFormat="1" x14ac:dyDescent="0.25">
      <c r="A5" t="s">
        <v>0</v>
      </c>
      <c r="B5" t="s">
        <v>1518</v>
      </c>
      <c r="C5" s="65">
        <v>0</v>
      </c>
      <c r="D5" s="65">
        <v>0</v>
      </c>
      <c r="E5" s="65">
        <v>2060000000</v>
      </c>
      <c r="F5" s="65">
        <v>566728000000</v>
      </c>
      <c r="G5" s="65">
        <v>5291300000</v>
      </c>
      <c r="H5" s="65">
        <v>0</v>
      </c>
      <c r="I5" s="65">
        <v>2905800000</v>
      </c>
      <c r="J5" s="65">
        <v>0</v>
      </c>
      <c r="K5" s="65">
        <v>1788400000</v>
      </c>
      <c r="L5" s="65">
        <v>0</v>
      </c>
      <c r="M5" s="65">
        <v>0</v>
      </c>
      <c r="N5" s="65">
        <v>0</v>
      </c>
      <c r="O5" s="69"/>
      <c r="P5" s="69"/>
      <c r="Q5" s="69"/>
      <c r="R5" s="69"/>
      <c r="S5" s="69"/>
    </row>
    <row r="6" spans="1:19" x14ac:dyDescent="0.25">
      <c r="A6" t="s">
        <v>957</v>
      </c>
      <c r="B6" t="s">
        <v>1511</v>
      </c>
      <c r="C6" s="65">
        <v>0</v>
      </c>
      <c r="D6" s="65">
        <v>0</v>
      </c>
      <c r="E6" s="65">
        <v>209417716167</v>
      </c>
      <c r="F6" s="65">
        <v>27950000000</v>
      </c>
      <c r="G6" s="65">
        <v>9288000000</v>
      </c>
      <c r="H6" s="65">
        <v>0</v>
      </c>
      <c r="I6" s="65">
        <v>9417000000</v>
      </c>
      <c r="J6" s="65">
        <v>0</v>
      </c>
      <c r="K6" s="65">
        <v>7055000000</v>
      </c>
      <c r="L6" s="65">
        <v>0</v>
      </c>
      <c r="M6" s="65">
        <v>0</v>
      </c>
      <c r="N6" s="65">
        <v>0</v>
      </c>
    </row>
    <row r="7" spans="1:19" x14ac:dyDescent="0.25">
      <c r="A7" t="s">
        <v>1184</v>
      </c>
      <c r="B7" t="s">
        <v>1523</v>
      </c>
      <c r="C7" s="65">
        <v>0</v>
      </c>
      <c r="D7" s="65">
        <v>0</v>
      </c>
      <c r="E7" s="65">
        <v>12651298282</v>
      </c>
      <c r="F7" s="65">
        <v>0</v>
      </c>
      <c r="G7" s="65">
        <v>8900000000</v>
      </c>
      <c r="H7" s="65">
        <v>0</v>
      </c>
      <c r="I7" s="65">
        <v>8400000000</v>
      </c>
      <c r="J7" s="65">
        <v>0</v>
      </c>
      <c r="K7" s="65">
        <v>7900000000</v>
      </c>
      <c r="L7" s="65">
        <v>0</v>
      </c>
      <c r="M7" s="65">
        <v>0</v>
      </c>
      <c r="N7" s="65">
        <v>0</v>
      </c>
    </row>
    <row r="8" spans="1:19" x14ac:dyDescent="0.25">
      <c r="A8" t="s">
        <v>932</v>
      </c>
      <c r="B8" t="s">
        <v>1525</v>
      </c>
      <c r="C8" s="65">
        <v>0</v>
      </c>
      <c r="D8" s="65">
        <v>0</v>
      </c>
      <c r="E8" s="65">
        <v>52670621739</v>
      </c>
      <c r="F8" s="65">
        <v>157075322600</v>
      </c>
      <c r="G8" s="65">
        <v>34219873757</v>
      </c>
      <c r="H8" s="65">
        <v>43800000000</v>
      </c>
      <c r="I8" s="65">
        <v>31379053757</v>
      </c>
      <c r="J8" s="65">
        <v>0</v>
      </c>
      <c r="K8" s="65">
        <v>32186233757</v>
      </c>
      <c r="L8" s="65">
        <v>0</v>
      </c>
      <c r="M8" s="65">
        <v>10478515838</v>
      </c>
      <c r="N8" s="65">
        <v>0</v>
      </c>
    </row>
    <row r="9" spans="1:19" x14ac:dyDescent="0.25">
      <c r="A9" t="s">
        <v>1106</v>
      </c>
      <c r="B9" t="s">
        <v>1526</v>
      </c>
      <c r="C9" s="65">
        <v>0</v>
      </c>
      <c r="D9" s="65">
        <v>0</v>
      </c>
      <c r="E9" s="65">
        <v>8920000000</v>
      </c>
      <c r="F9" s="65">
        <v>116924000000</v>
      </c>
      <c r="G9" s="65">
        <v>7480000000</v>
      </c>
      <c r="H9" s="65">
        <v>82010000000</v>
      </c>
      <c r="I9" s="65">
        <v>4000000000</v>
      </c>
      <c r="J9" s="65">
        <v>0</v>
      </c>
      <c r="K9" s="65">
        <v>4000000000</v>
      </c>
      <c r="L9" s="65">
        <v>0</v>
      </c>
      <c r="M9" s="65">
        <v>0</v>
      </c>
      <c r="N9" s="65">
        <v>0</v>
      </c>
    </row>
    <row r="10" spans="1:19" x14ac:dyDescent="0.25">
      <c r="A10" t="s">
        <v>961</v>
      </c>
      <c r="B10" t="s">
        <v>1527</v>
      </c>
      <c r="C10" s="65">
        <v>12063278594</v>
      </c>
      <c r="D10" s="65">
        <v>0</v>
      </c>
      <c r="E10" s="65">
        <v>59102034889</v>
      </c>
      <c r="F10" s="65">
        <v>190683240000</v>
      </c>
      <c r="G10" s="65">
        <v>12050000000</v>
      </c>
      <c r="H10" s="65">
        <v>125400000000</v>
      </c>
      <c r="I10" s="65">
        <v>46970000000</v>
      </c>
      <c r="J10" s="65">
        <v>219790000000</v>
      </c>
      <c r="K10" s="65">
        <v>37850000000</v>
      </c>
      <c r="L10" s="65">
        <v>185700000000</v>
      </c>
      <c r="M10" s="65">
        <v>0</v>
      </c>
      <c r="N10" s="65">
        <v>0</v>
      </c>
    </row>
    <row r="11" spans="1:19" x14ac:dyDescent="0.25">
      <c r="A11" t="s">
        <v>97</v>
      </c>
      <c r="B11" t="s">
        <v>1510</v>
      </c>
      <c r="C11" s="65">
        <v>154498413</v>
      </c>
      <c r="D11" s="65">
        <v>0</v>
      </c>
      <c r="E11" s="65">
        <v>61131471431</v>
      </c>
      <c r="F11" s="65">
        <v>1457121680624</v>
      </c>
      <c r="G11" s="65">
        <v>6291167287</v>
      </c>
      <c r="H11" s="65">
        <v>13298490161</v>
      </c>
      <c r="I11" s="65">
        <v>10331167287</v>
      </c>
      <c r="J11" s="65">
        <v>43212574213</v>
      </c>
      <c r="K11" s="65">
        <v>3216000000</v>
      </c>
      <c r="L11" s="65">
        <v>0</v>
      </c>
      <c r="M11" s="65">
        <v>0</v>
      </c>
      <c r="N11" s="65">
        <v>0</v>
      </c>
    </row>
    <row r="12" spans="1:19" x14ac:dyDescent="0.25">
      <c r="A12" t="s">
        <v>98</v>
      </c>
      <c r="B12" t="s">
        <v>1528</v>
      </c>
      <c r="C12" s="65">
        <v>450000000</v>
      </c>
      <c r="D12" s="65">
        <v>0</v>
      </c>
      <c r="E12" s="65">
        <v>34641860000</v>
      </c>
      <c r="F12" s="65">
        <v>0</v>
      </c>
      <c r="G12" s="65">
        <v>3560000000</v>
      </c>
      <c r="H12" s="65">
        <v>0</v>
      </c>
      <c r="I12" s="65">
        <v>3027500000</v>
      </c>
      <c r="J12" s="65">
        <v>0</v>
      </c>
      <c r="K12" s="65">
        <v>1923000000</v>
      </c>
      <c r="L12" s="65">
        <v>0</v>
      </c>
      <c r="M12" s="65">
        <v>0</v>
      </c>
      <c r="N12" s="65">
        <v>0</v>
      </c>
    </row>
    <row r="13" spans="1:19" x14ac:dyDescent="0.25">
      <c r="A13" t="s">
        <v>99</v>
      </c>
      <c r="B13" t="s">
        <v>1529</v>
      </c>
      <c r="C13" s="65">
        <v>0</v>
      </c>
      <c r="D13" s="65">
        <v>0</v>
      </c>
      <c r="E13" s="65">
        <v>393967000000</v>
      </c>
      <c r="F13" s="65">
        <v>205006000000</v>
      </c>
      <c r="G13" s="65">
        <v>539599936312</v>
      </c>
      <c r="H13" s="65">
        <v>751646700000</v>
      </c>
      <c r="I13" s="65">
        <v>417089968156</v>
      </c>
      <c r="J13" s="65">
        <v>287939050360</v>
      </c>
      <c r="K13" s="65">
        <v>291494968156</v>
      </c>
      <c r="L13" s="65">
        <v>404316863140</v>
      </c>
      <c r="M13" s="65">
        <v>168891968156</v>
      </c>
      <c r="N13" s="65">
        <v>264918343166</v>
      </c>
    </row>
    <row r="14" spans="1:19" x14ac:dyDescent="0.25">
      <c r="A14" t="s">
        <v>66</v>
      </c>
      <c r="B14" t="s">
        <v>1530</v>
      </c>
      <c r="C14" s="65">
        <v>0</v>
      </c>
      <c r="D14" s="65">
        <v>0</v>
      </c>
      <c r="E14" s="65">
        <v>282164589000</v>
      </c>
      <c r="F14" s="65">
        <v>403530000000</v>
      </c>
      <c r="G14" s="65">
        <v>266002028000</v>
      </c>
      <c r="H14" s="65">
        <v>37000000000</v>
      </c>
      <c r="I14" s="65">
        <v>269691028000</v>
      </c>
      <c r="J14" s="65">
        <v>25630000000</v>
      </c>
      <c r="K14" s="65">
        <v>272202028000</v>
      </c>
      <c r="L14" s="65">
        <v>14550000000</v>
      </c>
      <c r="M14" s="65">
        <v>0</v>
      </c>
      <c r="N14" s="65">
        <v>0</v>
      </c>
    </row>
    <row r="15" spans="1:19" x14ac:dyDescent="0.25">
      <c r="A15" t="s">
        <v>69</v>
      </c>
      <c r="B15" t="s">
        <v>1533</v>
      </c>
      <c r="C15" s="65">
        <v>0</v>
      </c>
      <c r="D15" s="65">
        <v>0</v>
      </c>
      <c r="E15" s="65">
        <v>1600000000</v>
      </c>
      <c r="F15" s="65">
        <v>0</v>
      </c>
      <c r="G15" s="65">
        <v>1200000000</v>
      </c>
      <c r="H15" s="65">
        <v>0</v>
      </c>
      <c r="I15" s="65">
        <v>1600000000</v>
      </c>
      <c r="J15" s="65">
        <v>0</v>
      </c>
      <c r="K15" s="65">
        <v>1000000000</v>
      </c>
      <c r="L15" s="65">
        <v>0</v>
      </c>
      <c r="M15" s="65">
        <v>0</v>
      </c>
      <c r="N15" s="65">
        <v>0</v>
      </c>
    </row>
    <row r="16" spans="1:19" x14ac:dyDescent="0.25">
      <c r="A16" t="s">
        <v>71</v>
      </c>
      <c r="B16" t="s">
        <v>1535</v>
      </c>
      <c r="C16" s="65">
        <v>500000000</v>
      </c>
      <c r="D16" s="65">
        <v>0</v>
      </c>
      <c r="E16" s="65">
        <v>54212031000</v>
      </c>
      <c r="F16" s="65">
        <v>0</v>
      </c>
      <c r="G16" s="65">
        <v>48790000000</v>
      </c>
      <c r="H16" s="65">
        <v>0</v>
      </c>
      <c r="I16" s="65">
        <v>53600000000</v>
      </c>
      <c r="J16" s="65">
        <v>0</v>
      </c>
      <c r="K16" s="65">
        <v>47930000000</v>
      </c>
      <c r="L16" s="65">
        <v>0</v>
      </c>
      <c r="M16" s="65">
        <v>22160000000</v>
      </c>
      <c r="N16" s="65">
        <v>0</v>
      </c>
    </row>
    <row r="17" spans="1:14" x14ac:dyDescent="0.25">
      <c r="A17" t="s">
        <v>72</v>
      </c>
      <c r="B17" t="s">
        <v>1536</v>
      </c>
      <c r="C17" s="65">
        <v>44500000000</v>
      </c>
      <c r="D17" s="65">
        <v>0</v>
      </c>
      <c r="E17" s="65">
        <v>519891000000</v>
      </c>
      <c r="F17" s="65">
        <v>137568815468</v>
      </c>
      <c r="G17" s="65">
        <v>213337100000</v>
      </c>
      <c r="H17" s="65">
        <v>11319098000</v>
      </c>
      <c r="I17" s="65">
        <v>287716410000</v>
      </c>
      <c r="J17" s="65">
        <v>2177875000</v>
      </c>
      <c r="K17" s="65">
        <v>7055000000</v>
      </c>
      <c r="L17" s="65">
        <v>0</v>
      </c>
      <c r="M17" s="65">
        <v>5993000000</v>
      </c>
      <c r="N17" s="65">
        <v>0</v>
      </c>
    </row>
    <row r="18" spans="1:14" x14ac:dyDescent="0.25">
      <c r="A18" t="s">
        <v>113</v>
      </c>
      <c r="B18" t="s">
        <v>1550</v>
      </c>
      <c r="C18" s="65">
        <v>315083015356</v>
      </c>
      <c r="D18" s="65">
        <v>0</v>
      </c>
      <c r="E18" s="65">
        <v>1795281705264</v>
      </c>
      <c r="F18" s="105">
        <v>1649754621490</v>
      </c>
      <c r="G18" s="65">
        <v>510430541808</v>
      </c>
      <c r="H18" s="65">
        <v>1111350000000</v>
      </c>
      <c r="I18" s="65">
        <v>183790700000</v>
      </c>
      <c r="J18" s="65">
        <v>676680000000</v>
      </c>
      <c r="K18" s="65">
        <v>40000000000</v>
      </c>
      <c r="L18" s="65">
        <v>39000000000</v>
      </c>
      <c r="M18" s="65">
        <v>0</v>
      </c>
      <c r="N18" s="65">
        <v>0</v>
      </c>
    </row>
    <row r="19" spans="1:14" x14ac:dyDescent="0.25">
      <c r="A19" t="s">
        <v>117</v>
      </c>
      <c r="B19" t="s">
        <v>1554</v>
      </c>
      <c r="C19" s="65">
        <v>60000000</v>
      </c>
      <c r="D19" s="65">
        <v>0</v>
      </c>
      <c r="E19" s="65">
        <v>4744000000</v>
      </c>
      <c r="F19" s="65">
        <v>0</v>
      </c>
      <c r="G19" s="65">
        <v>4192000000</v>
      </c>
      <c r="H19" s="65">
        <v>0</v>
      </c>
      <c r="I19" s="65">
        <v>2551000000</v>
      </c>
      <c r="J19" s="65">
        <v>0</v>
      </c>
      <c r="K19" s="65">
        <v>2873000000</v>
      </c>
      <c r="L19" s="65">
        <v>0</v>
      </c>
      <c r="M19" s="65">
        <v>0</v>
      </c>
      <c r="N19" s="65">
        <v>0</v>
      </c>
    </row>
    <row r="20" spans="1:14" x14ac:dyDescent="0.25">
      <c r="A20" t="s">
        <v>123</v>
      </c>
      <c r="B20" t="s">
        <v>1560</v>
      </c>
      <c r="C20" s="65">
        <v>0</v>
      </c>
      <c r="D20" s="65">
        <v>0</v>
      </c>
      <c r="E20" s="65">
        <v>231140000000</v>
      </c>
      <c r="F20" s="65">
        <v>464630000000</v>
      </c>
      <c r="G20" s="65">
        <v>128140000000</v>
      </c>
      <c r="H20" s="65">
        <v>3700000000</v>
      </c>
      <c r="I20" s="65">
        <v>0</v>
      </c>
      <c r="J20" s="65">
        <v>0</v>
      </c>
      <c r="K20" s="65">
        <v>0</v>
      </c>
      <c r="L20" s="65">
        <v>0</v>
      </c>
      <c r="M20" s="65">
        <v>0</v>
      </c>
      <c r="N20" s="65">
        <v>0</v>
      </c>
    </row>
    <row r="21" spans="1:14" x14ac:dyDescent="0.25">
      <c r="A21" t="s">
        <v>137</v>
      </c>
      <c r="B21" t="s">
        <v>1573</v>
      </c>
      <c r="C21" s="65">
        <v>5288675782</v>
      </c>
      <c r="D21" s="65">
        <v>0</v>
      </c>
      <c r="E21" s="65">
        <v>13381891564</v>
      </c>
      <c r="F21" s="65">
        <v>0</v>
      </c>
      <c r="G21" s="65">
        <v>1631121000</v>
      </c>
      <c r="H21" s="65">
        <v>0</v>
      </c>
      <c r="I21" s="65">
        <v>1658770000</v>
      </c>
      <c r="J21" s="65">
        <v>0</v>
      </c>
      <c r="K21" s="65">
        <v>1666800000</v>
      </c>
      <c r="L21" s="65">
        <v>0</v>
      </c>
      <c r="M21" s="65">
        <v>0</v>
      </c>
      <c r="N21" s="65">
        <v>0</v>
      </c>
    </row>
    <row r="22" spans="1:14" x14ac:dyDescent="0.25">
      <c r="A22" t="s">
        <v>154</v>
      </c>
      <c r="B22" t="s">
        <v>1591</v>
      </c>
      <c r="C22" s="65">
        <v>0</v>
      </c>
      <c r="D22" s="65">
        <v>0</v>
      </c>
      <c r="E22" s="65">
        <v>11652915228</v>
      </c>
      <c r="F22" s="65">
        <v>0</v>
      </c>
      <c r="G22" s="65">
        <v>11652915228</v>
      </c>
      <c r="H22" s="65">
        <v>0</v>
      </c>
      <c r="I22" s="65">
        <v>11652915228</v>
      </c>
      <c r="J22" s="65">
        <v>0</v>
      </c>
      <c r="K22" s="65">
        <v>11652915228</v>
      </c>
      <c r="L22" s="65">
        <v>0</v>
      </c>
      <c r="M22" s="65">
        <v>0</v>
      </c>
      <c r="N22" s="65">
        <v>0</v>
      </c>
    </row>
    <row r="23" spans="1:14" x14ac:dyDescent="0.25">
      <c r="A23" t="s">
        <v>306</v>
      </c>
      <c r="B23" t="s">
        <v>1604</v>
      </c>
      <c r="C23" s="65">
        <v>0</v>
      </c>
      <c r="D23" s="65">
        <v>0</v>
      </c>
      <c r="E23" s="65">
        <v>2263000000</v>
      </c>
      <c r="F23" s="65">
        <v>0</v>
      </c>
      <c r="G23" s="65">
        <v>2219000280</v>
      </c>
      <c r="H23" s="65">
        <v>0</v>
      </c>
      <c r="I23" s="65">
        <v>1569000000</v>
      </c>
      <c r="J23" s="65">
        <v>0</v>
      </c>
      <c r="K23" s="65">
        <v>1159000000</v>
      </c>
      <c r="L23" s="65">
        <v>0</v>
      </c>
      <c r="M23" s="65">
        <v>0</v>
      </c>
      <c r="N23" s="65">
        <v>0</v>
      </c>
    </row>
    <row r="24" spans="1:14" x14ac:dyDescent="0.25">
      <c r="A24" t="s">
        <v>308</v>
      </c>
      <c r="B24" t="s">
        <v>1606</v>
      </c>
      <c r="C24" s="65">
        <v>0</v>
      </c>
      <c r="D24" s="65">
        <v>0</v>
      </c>
      <c r="E24" s="65">
        <v>18850000000</v>
      </c>
      <c r="F24" s="65">
        <v>0</v>
      </c>
      <c r="G24" s="65">
        <v>14985000000</v>
      </c>
      <c r="H24" s="65">
        <v>0</v>
      </c>
      <c r="I24" s="65">
        <v>10550000000</v>
      </c>
      <c r="J24" s="65">
        <v>0</v>
      </c>
      <c r="K24" s="65">
        <v>2065000000</v>
      </c>
      <c r="L24" s="65">
        <v>0</v>
      </c>
      <c r="M24" s="65">
        <v>0</v>
      </c>
      <c r="N24" s="65">
        <v>0</v>
      </c>
    </row>
    <row r="25" spans="1:14" x14ac:dyDescent="0.25">
      <c r="A25" t="s">
        <v>1179</v>
      </c>
      <c r="B25" t="s">
        <v>1516</v>
      </c>
      <c r="C25" s="65">
        <v>0</v>
      </c>
      <c r="D25" s="65">
        <v>0</v>
      </c>
      <c r="E25" s="65">
        <v>174692082000</v>
      </c>
      <c r="F25" s="65">
        <v>0</v>
      </c>
      <c r="G25" s="65">
        <v>115613561000</v>
      </c>
      <c r="H25" s="65">
        <v>0</v>
      </c>
      <c r="I25" s="65">
        <v>141889131500</v>
      </c>
      <c r="J25" s="65">
        <v>0</v>
      </c>
      <c r="K25" s="65">
        <v>140114037500</v>
      </c>
      <c r="L25" s="65">
        <v>0</v>
      </c>
      <c r="M25" s="65">
        <v>0</v>
      </c>
      <c r="N25" s="65">
        <v>0</v>
      </c>
    </row>
  </sheetData>
  <mergeCells count="1">
    <mergeCell ref="A1:N1"/>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D372"/>
  <sheetViews>
    <sheetView zoomScale="70" zoomScaleNormal="70" workbookViewId="0">
      <pane xSplit="6" ySplit="3" topLeftCell="M347" activePane="bottomRight" state="frozen"/>
      <selection pane="topRight" activeCell="F1" sqref="F1"/>
      <selection pane="bottomLeft" activeCell="A4" sqref="A4"/>
      <selection pane="bottomRight" activeCell="Q375" sqref="Q375"/>
    </sheetView>
  </sheetViews>
  <sheetFormatPr defaultColWidth="9.140625" defaultRowHeight="15" x14ac:dyDescent="0.25"/>
  <cols>
    <col min="1" max="1" width="7.140625" style="5" hidden="1" customWidth="1"/>
    <col min="2" max="2" width="109.5703125" style="5" hidden="1" customWidth="1"/>
    <col min="3" max="3" width="17.85546875" style="5" hidden="1" customWidth="1"/>
    <col min="4" max="4" width="98.7109375" style="5" hidden="1" customWidth="1"/>
    <col min="5" max="5" width="15" style="5" bestFit="1" customWidth="1"/>
    <col min="6" max="6" width="36" style="5" bestFit="1" customWidth="1"/>
    <col min="7" max="7" width="13.5703125" style="5" bestFit="1" customWidth="1"/>
    <col min="8" max="8" width="43.42578125" style="5" bestFit="1" customWidth="1"/>
    <col min="9" max="9" width="15.7109375" style="5" bestFit="1" customWidth="1"/>
    <col min="10" max="10" width="104.7109375" style="5" bestFit="1" customWidth="1"/>
    <col min="11" max="11" width="10.140625" style="5" bestFit="1" customWidth="1"/>
    <col min="12" max="12" width="18.7109375" style="6" bestFit="1" customWidth="1"/>
    <col min="13" max="13" width="15.28515625" style="6" bestFit="1" customWidth="1"/>
    <col min="14" max="14" width="11.7109375" style="7" customWidth="1"/>
    <col min="15" max="15" width="11.42578125" style="7" bestFit="1" customWidth="1"/>
    <col min="16" max="16" width="12" style="7" bestFit="1" customWidth="1"/>
    <col min="17" max="17" width="12.42578125" style="7" bestFit="1" customWidth="1"/>
    <col min="18" max="18" width="17.85546875" style="5" bestFit="1" customWidth="1"/>
    <col min="19" max="19" width="21" style="5" bestFit="1" customWidth="1"/>
    <col min="20" max="21" width="17.85546875" style="5" bestFit="1" customWidth="1"/>
    <col min="22" max="22" width="21" style="5" bestFit="1" customWidth="1"/>
    <col min="23" max="23" width="17.85546875" style="5" bestFit="1" customWidth="1"/>
    <col min="24" max="24" width="17.85546875" style="8" bestFit="1" customWidth="1"/>
    <col min="25" max="25" width="21" style="8" bestFit="1" customWidth="1"/>
    <col min="26" max="27" width="17.85546875" style="8" bestFit="1" customWidth="1"/>
    <col min="28" max="28" width="21" style="8" bestFit="1" customWidth="1"/>
    <col min="29" max="29" width="17.85546875" style="8" bestFit="1" customWidth="1"/>
    <col min="30" max="16384" width="9.140625" style="2"/>
  </cols>
  <sheetData>
    <row r="1" spans="1:30" ht="20.25" x14ac:dyDescent="0.25">
      <c r="A1" s="164" t="s">
        <v>1679</v>
      </c>
      <c r="B1" s="164"/>
      <c r="C1" s="164"/>
      <c r="D1" s="164"/>
      <c r="E1" s="164"/>
      <c r="F1" s="164"/>
      <c r="G1" s="164"/>
      <c r="H1" s="164"/>
      <c r="I1" s="164"/>
      <c r="J1" s="164"/>
      <c r="K1" s="84"/>
      <c r="L1" s="19"/>
      <c r="M1" s="19"/>
      <c r="N1" s="20"/>
      <c r="O1" s="20"/>
      <c r="P1" s="20"/>
      <c r="Q1" s="20"/>
      <c r="R1" s="2"/>
      <c r="S1" s="2"/>
      <c r="T1" s="2"/>
      <c r="U1" s="2"/>
      <c r="V1" s="2"/>
      <c r="W1" s="2"/>
      <c r="X1" s="2"/>
      <c r="Y1" s="2"/>
      <c r="Z1" s="2"/>
      <c r="AA1" s="2"/>
      <c r="AB1" s="2"/>
      <c r="AC1" s="2"/>
    </row>
    <row r="2" spans="1:30" ht="21" x14ac:dyDescent="0.25">
      <c r="A2" s="164"/>
      <c r="B2" s="164"/>
      <c r="C2" s="164"/>
      <c r="D2" s="164"/>
      <c r="E2" s="164"/>
      <c r="F2" s="164"/>
      <c r="G2" s="164"/>
      <c r="H2" s="164"/>
      <c r="I2" s="164"/>
      <c r="J2" s="164"/>
      <c r="K2" s="84"/>
      <c r="L2" s="19"/>
      <c r="M2" s="19"/>
      <c r="N2" s="165" t="s">
        <v>493</v>
      </c>
      <c r="O2" s="165"/>
      <c r="P2" s="165"/>
      <c r="Q2" s="85"/>
      <c r="R2" s="166" t="s">
        <v>494</v>
      </c>
      <c r="S2" s="166"/>
      <c r="T2" s="166"/>
      <c r="U2" s="163" t="s">
        <v>495</v>
      </c>
      <c r="V2" s="163"/>
      <c r="W2" s="163"/>
      <c r="X2" s="166" t="s">
        <v>496</v>
      </c>
      <c r="Y2" s="166"/>
      <c r="Z2" s="166"/>
      <c r="AA2" s="163" t="s">
        <v>879</v>
      </c>
      <c r="AB2" s="163"/>
      <c r="AC2" s="163"/>
    </row>
    <row r="3" spans="1:30" s="3" customFormat="1" ht="28.5" x14ac:dyDescent="0.25">
      <c r="A3" s="60" t="s">
        <v>880</v>
      </c>
      <c r="B3" s="60" t="s">
        <v>1492</v>
      </c>
      <c r="C3" s="60" t="s">
        <v>1491</v>
      </c>
      <c r="D3" s="60" t="s">
        <v>1497</v>
      </c>
      <c r="E3" s="60" t="s">
        <v>881</v>
      </c>
      <c r="F3" s="61" t="s">
        <v>882</v>
      </c>
      <c r="G3" s="60" t="s">
        <v>883</v>
      </c>
      <c r="H3" s="60" t="s">
        <v>886</v>
      </c>
      <c r="I3" s="60" t="s">
        <v>884</v>
      </c>
      <c r="J3" s="61" t="s">
        <v>885</v>
      </c>
      <c r="K3" s="136" t="s">
        <v>1498</v>
      </c>
      <c r="L3" s="4" t="s">
        <v>497</v>
      </c>
      <c r="M3" s="4" t="s">
        <v>498</v>
      </c>
      <c r="N3" s="62" t="s">
        <v>499</v>
      </c>
      <c r="O3" s="62" t="s">
        <v>500</v>
      </c>
      <c r="P3" s="62" t="s">
        <v>501</v>
      </c>
      <c r="Q3" s="62" t="s">
        <v>1499</v>
      </c>
      <c r="R3" s="63" t="s">
        <v>502</v>
      </c>
      <c r="S3" s="63" t="s">
        <v>503</v>
      </c>
      <c r="T3" s="63" t="s">
        <v>504</v>
      </c>
      <c r="U3" s="64" t="s">
        <v>505</v>
      </c>
      <c r="V3" s="64" t="s">
        <v>506</v>
      </c>
      <c r="W3" s="64" t="s">
        <v>507</v>
      </c>
      <c r="X3" s="63" t="s">
        <v>508</v>
      </c>
      <c r="Y3" s="63" t="s">
        <v>509</v>
      </c>
      <c r="Z3" s="63" t="s">
        <v>510</v>
      </c>
      <c r="AA3" s="64" t="s">
        <v>887</v>
      </c>
      <c r="AB3" s="64" t="s">
        <v>888</v>
      </c>
      <c r="AC3" s="64" t="s">
        <v>889</v>
      </c>
      <c r="AD3" s="157" t="s">
        <v>1926</v>
      </c>
    </row>
    <row r="4" spans="1:30" ht="15" hidden="1" customHeight="1" x14ac:dyDescent="0.25">
      <c r="A4" s="21" t="s">
        <v>631</v>
      </c>
      <c r="B4" s="2" t="s">
        <v>76</v>
      </c>
      <c r="C4" s="2" t="e">
        <f ca="1">PAProjects5[[#This Row],[LINKING_CODE]]=_xlfn.CONCAT(PAProjects5[[#This Row],[Project Code]]," ",PAProjects5[[#This Row],[Project Name]])</f>
        <v>#NAME?</v>
      </c>
      <c r="D4" s="2" t="str">
        <f>VLOOKUP(PAProjects5[[#This Row],[LINKING_CODE]],MasterTable[[Project Code and Name ]],1,FALSE)</f>
        <v>0220 Global Fund for AIDS, TB and Malaria</v>
      </c>
      <c r="E4" s="2" t="s">
        <v>520</v>
      </c>
      <c r="F4" s="2" t="s">
        <v>975</v>
      </c>
      <c r="G4" s="2" t="s">
        <v>97</v>
      </c>
      <c r="H4" s="2" t="s">
        <v>962</v>
      </c>
      <c r="I4" s="2" t="s">
        <v>697</v>
      </c>
      <c r="J4" s="2" t="s">
        <v>698</v>
      </c>
      <c r="K4" s="2" t="s">
        <v>1509</v>
      </c>
      <c r="L4" s="23">
        <v>40360</v>
      </c>
      <c r="M4" s="23">
        <v>44742</v>
      </c>
      <c r="N4" s="24">
        <v>13.5</v>
      </c>
      <c r="O4" s="25">
        <v>713.71500000000003</v>
      </c>
      <c r="P4" s="20">
        <f>SUM(N4:O4)</f>
        <v>727.21500000000003</v>
      </c>
      <c r="Q4" s="53">
        <f>SUMIFS(MasterTable[Estimate of Arrears at end of the current FY 2020/21 (value)],MasterTable[[Project Code and Name ]],PAProjects5[[#This Row],[LINKING_CODE]],MasterTable[Funding Source],"GoU Funded")/10^9</f>
        <v>0.154498413</v>
      </c>
      <c r="R4" s="108">
        <f>SUMIFS(MasterTable[Arrears + All Contractual Commitments (value next FY)],MasterTable[[Project Code and Name ]],PAProjects5[[#This Row],[LINKING_CODE]],MasterTable[Funding Source],"GoU Funded")/10^9</f>
        <v>16.880304144</v>
      </c>
      <c r="S4" s="52">
        <f>SUMIFS(MasterTable[Arrears + All Contractual Commitments (value next FY)],MasterTable[[Project Code and Name ]],PAProjects5[[#This Row],[LINKING_CODE]],MasterTable[Funding Source],"External Financing")/10^9</f>
        <v>1151.437122863</v>
      </c>
      <c r="T4" s="49">
        <f>PAProjects[[#This Row],[GOU 21/22]]+PAProjects[[#This Row],[DONOR 21/22]]</f>
        <v>714.33499999999992</v>
      </c>
      <c r="U4" s="52">
        <f>SUMIFS(MasterTable[FY1 (FY22-23)],MasterTable[[Project Code and Name ]],PAProjects5[[#This Row],[LINKING_CODE]],MasterTable[Funding Source],"GoU Funded")/10^9</f>
        <v>0</v>
      </c>
      <c r="V4" s="52">
        <f>SUMIFS(MasterTable[FY1 (FY22-23)],MasterTable[[Project Code and Name ]],PAProjects5[[#This Row],[LINKING_CODE]],MasterTable[Funding Source],"External Financing")/10^9</f>
        <v>0</v>
      </c>
      <c r="W4" s="49">
        <f>PAProjects[[#This Row],[GOU 22/23]]+PAProjects[[#This Row],[DONOR 22/23]]</f>
        <v>0</v>
      </c>
      <c r="X4" s="52">
        <f>SUMIFS(MasterTable[FY2 (FY23-24)],MasterTable[[Project Code and Name ]],PAProjects5[[#This Row],[LINKING_CODE]],MasterTable[Funding Source],"GoU Funded")/10^9</f>
        <v>0</v>
      </c>
      <c r="Y4" s="52">
        <f>SUMIFS(MasterTable[FY2 (FY23-24)],MasterTable[[Project Code and Name ]],PAProjects5[[#This Row],[LINKING_CODE]],MasterTable[Funding Source],"External Financing")/10^9</f>
        <v>0</v>
      </c>
      <c r="Z4" s="2">
        <f>X4+Y4</f>
        <v>0</v>
      </c>
      <c r="AA4" s="52">
        <f>SUMIFS(MasterTable[FY3 (FY24-25)],MasterTable[[Project Code and Name ]],PAProjects5[[#This Row],[LINKING_CODE]],MasterTable[Funding Source],"GoU Funded")/10^9</f>
        <v>0</v>
      </c>
      <c r="AB4" s="52">
        <f>SUMIFS(MasterTable[FY3 (FY24-25)],MasterTable[[Project Code and Name ]],PAProjects5[[#This Row],[LINKING_CODE]],MasterTable[Funding Source],"External Financing")/10^9</f>
        <v>0</v>
      </c>
      <c r="AC4" s="49">
        <f>PAProjects[[#This Row],[GOU 24/25]]+PAProjects[[#This Row],[DONOR 24/25]]</f>
        <v>0</v>
      </c>
    </row>
    <row r="5" spans="1:30" ht="15" hidden="1" customHeight="1" x14ac:dyDescent="0.25">
      <c r="A5" s="21" t="s">
        <v>1026</v>
      </c>
      <c r="B5" s="2" t="s">
        <v>384</v>
      </c>
      <c r="C5" s="2" t="e">
        <f ca="1">PAProjects5[[#This Row],[LINKING_CODE]]=_xlfn.CONCAT(PAProjects5[[#This Row],[Project Code]]," ",PAProjects5[[#This Row],[Project Name]])</f>
        <v>#NAME?</v>
      </c>
      <c r="D5" s="2" t="str">
        <f>VLOOKUP(PAProjects5[[#This Row],[LINKING_CODE]],MasterTable[[Project Code and Name ]],1,FALSE)</f>
        <v>0265 Upgrade Atiak - Moyo-Afoji (104km)</v>
      </c>
      <c r="E5" s="2" t="s">
        <v>515</v>
      </c>
      <c r="F5" s="2" t="s">
        <v>944</v>
      </c>
      <c r="G5" s="2" t="s">
        <v>113</v>
      </c>
      <c r="H5" s="2" t="s">
        <v>1007</v>
      </c>
      <c r="I5" s="2" t="s">
        <v>591</v>
      </c>
      <c r="J5" s="2" t="s">
        <v>592</v>
      </c>
      <c r="K5" s="2" t="s">
        <v>1509</v>
      </c>
      <c r="L5" s="26">
        <v>40543</v>
      </c>
      <c r="M5" s="23">
        <v>45473</v>
      </c>
      <c r="N5" s="20"/>
      <c r="O5" s="20">
        <v>226.34200000000001</v>
      </c>
      <c r="P5" s="20">
        <f>SUM(O5:O5)</f>
        <v>226.34200000000001</v>
      </c>
      <c r="Q5" s="53">
        <f>SUMIFS(MasterTable[Estimate of Arrears at end of the current FY 2020/21 (value)],MasterTable[[Project Code and Name ]],PAProjects5[[#This Row],[LINKING_CODE]],MasterTable[Funding Source],"GoU Funded")/10^9</f>
        <v>1.5425524580000001</v>
      </c>
      <c r="R5" s="108">
        <f>SUMIFS(MasterTable[Arrears + All Contractual Commitments (value next FY)],MasterTable[[Project Code and Name ]],PAProjects5[[#This Row],[LINKING_CODE]],MasterTable[Funding Source],"GoU Funded")/10^9</f>
        <v>17.274120109999998</v>
      </c>
      <c r="S5" s="108">
        <f>SUMIFS(MasterTable[Arrears + All Contractual Commitments (value next FY)],MasterTable[[Project Code and Name ]],PAProjects5[[#This Row],[LINKING_CODE]],MasterTable[Funding Source],"External Financing")/10^9</f>
        <v>87</v>
      </c>
      <c r="T5" s="49">
        <f>PAProjects[[#This Row],[GOU 21/22]]+PAProjects[[#This Row],[DONOR 21/22]]</f>
        <v>104.27412011</v>
      </c>
      <c r="U5" s="107">
        <f>SUMIFS(MasterTable[FY1 (FY22-23)],MasterTable[[Project Code and Name ]],PAProjects5[[#This Row],[LINKING_CODE]],MasterTable[Funding Source],"GoU Funded")/10^9</f>
        <v>7.4498918080000003</v>
      </c>
      <c r="V5" s="52">
        <f>SUMIFS(MasterTable[FY1 (FY22-23)],MasterTable[[Project Code and Name ]],PAProjects5[[#This Row],[LINKING_CODE]],MasterTable[Funding Source],"External Financing")/10^9</f>
        <v>41.2</v>
      </c>
      <c r="W5" s="49">
        <f>PAProjects[[#This Row],[GOU 22/23]]+PAProjects[[#This Row],[DONOR 22/23]]</f>
        <v>48.649891808000007</v>
      </c>
      <c r="X5" s="52">
        <f>SUMIFS(MasterTable[FY2 (FY23-24)],MasterTable[[Project Code and Name ]],PAProjects5[[#This Row],[LINKING_CODE]],MasterTable[Funding Source],"GoU Funded")/10^9</f>
        <v>5.0999999999999996</v>
      </c>
      <c r="Y5" s="52">
        <f>SUMIFS(MasterTable[FY2 (FY23-24)],MasterTable[[Project Code and Name ]],PAProjects5[[#This Row],[LINKING_CODE]],MasterTable[Funding Source],"External Financing")/10^9</f>
        <v>28.23</v>
      </c>
      <c r="Z5" s="34">
        <f>X5+Y5</f>
        <v>33.33</v>
      </c>
      <c r="AA5" s="52">
        <f>SUMIFS(MasterTable[FY3 (FY24-25)],MasterTable[[Project Code and Name ]],PAProjects5[[#This Row],[LINKING_CODE]],MasterTable[Funding Source],"GoU Funded")/10^9</f>
        <v>0</v>
      </c>
      <c r="AB5" s="52">
        <f>SUMIFS(MasterTable[FY3 (FY24-25)],MasterTable[[Project Code and Name ]],PAProjects5[[#This Row],[LINKING_CODE]],MasterTable[Funding Source],"External Financing")/10^9</f>
        <v>0</v>
      </c>
      <c r="AC5" s="49">
        <f>PAProjects[[#This Row],[GOU 24/25]]+PAProjects[[#This Row],[DONOR 24/25]]</f>
        <v>0</v>
      </c>
    </row>
    <row r="6" spans="1:30" ht="15" hidden="1" customHeight="1" x14ac:dyDescent="0.25">
      <c r="A6" s="21" t="s">
        <v>1027</v>
      </c>
      <c r="B6" s="2" t="s">
        <v>385</v>
      </c>
      <c r="C6" s="2" t="e">
        <f ca="1">PAProjects5[[#This Row],[LINKING_CODE]]=_xlfn.CONCAT(PAProjects5[[#This Row],[Project Code]]," ",PAProjects5[[#This Row],[Project Name]])</f>
        <v>#NAME?</v>
      </c>
      <c r="D6" s="2" t="str">
        <f>VLOOKUP(PAProjects5[[#This Row],[LINKING_CODE]],MasterTable[[Project Code and Name ]],1,FALSE)</f>
        <v>0267 Improvement of Ferry Services</v>
      </c>
      <c r="E6" s="2" t="s">
        <v>515</v>
      </c>
      <c r="F6" s="2" t="s">
        <v>944</v>
      </c>
      <c r="G6" s="2" t="s">
        <v>113</v>
      </c>
      <c r="H6" s="2" t="s">
        <v>1007</v>
      </c>
      <c r="I6" s="2" t="s">
        <v>606</v>
      </c>
      <c r="J6" s="2" t="s">
        <v>1028</v>
      </c>
      <c r="K6" s="2" t="s">
        <v>1509</v>
      </c>
      <c r="L6" s="26">
        <v>40543</v>
      </c>
      <c r="M6" s="23">
        <v>45473</v>
      </c>
      <c r="N6" s="20">
        <v>50</v>
      </c>
      <c r="O6" s="20"/>
      <c r="P6" s="20">
        <f t="shared" ref="P6:P69" si="0">SUM(N6:O6)</f>
        <v>50</v>
      </c>
      <c r="Q6" s="53">
        <f>SUMIFS(MasterTable[Estimate of Arrears at end of the current FY 2020/21 (value)],MasterTable[[Project Code and Name ]],PAProjects5[[#This Row],[LINKING_CODE]],MasterTable[Funding Source],"GoU Funded")/10^9</f>
        <v>16.805923879000002</v>
      </c>
      <c r="R6" s="108">
        <f>SUMIFS(MasterTable[Arrears + All Contractual Commitments (value next FY)],MasterTable[[Project Code and Name ]],PAProjects5[[#This Row],[LINKING_CODE]],MasterTable[Funding Source],"GoU Funded")/10^9</f>
        <v>108.50592387899999</v>
      </c>
      <c r="S6" s="108">
        <f>SUMIFS(MasterTable[Arrears + All Contractual Commitments (value next FY)],MasterTable[[Project Code and Name ]],PAProjects5[[#This Row],[LINKING_CODE]],MasterTable[Funding Source],"External Financing")/10^9</f>
        <v>0</v>
      </c>
      <c r="T6" s="49">
        <f>PAProjects[[#This Row],[GOU 21/22]]+PAProjects[[#This Row],[DONOR 21/22]]</f>
        <v>108.50592387899999</v>
      </c>
      <c r="U6" s="107">
        <f>SUMIFS(MasterTable[FY1 (FY22-23)],MasterTable[[Project Code and Name ]],PAProjects5[[#This Row],[LINKING_CODE]],MasterTable[Funding Source],"GoU Funded")/10^9</f>
        <v>0</v>
      </c>
      <c r="V6" s="52">
        <f>SUMIFS(MasterTable[FY1 (FY22-23)],MasterTable[[Project Code and Name ]],PAProjects5[[#This Row],[LINKING_CODE]],MasterTable[Funding Source],"External Financing")/10^9</f>
        <v>0</v>
      </c>
      <c r="W6" s="49">
        <f>PAProjects[[#This Row],[GOU 22/23]]+PAProjects[[#This Row],[DONOR 22/23]]</f>
        <v>0</v>
      </c>
      <c r="X6" s="52">
        <f>SUMIFS(MasterTable[FY2 (FY23-24)],MasterTable[[Project Code and Name ]],PAProjects5[[#This Row],[LINKING_CODE]],MasterTable[Funding Source],"GoU Funded")/10^9</f>
        <v>0</v>
      </c>
      <c r="Y6" s="52">
        <f>SUMIFS(MasterTable[FY2 (FY23-24)],MasterTable[[Project Code and Name ]],PAProjects5[[#This Row],[LINKING_CODE]],MasterTable[Funding Source],"External Financing")/10^9</f>
        <v>0</v>
      </c>
      <c r="Z6" s="34">
        <f>X6+Y6</f>
        <v>0</v>
      </c>
      <c r="AA6" s="52">
        <f>SUMIFS(MasterTable[FY3 (FY24-25)],MasterTable[[Project Code and Name ]],PAProjects5[[#This Row],[LINKING_CODE]],MasterTable[Funding Source],"GoU Funded")/10^9</f>
        <v>0</v>
      </c>
      <c r="AB6" s="52">
        <f>SUMIFS(MasterTable[FY3 (FY24-25)],MasterTable[[Project Code and Name ]],PAProjects5[[#This Row],[LINKING_CODE]],MasterTable[Funding Source],"External Financing")/10^9</f>
        <v>0</v>
      </c>
      <c r="AC6" s="49">
        <f>PAProjects[[#This Row],[GOU 24/25]]+PAProjects[[#This Row],[DONOR 24/25]]</f>
        <v>0</v>
      </c>
    </row>
    <row r="7" spans="1:30" ht="15" hidden="1" customHeight="1" x14ac:dyDescent="0.25">
      <c r="A7" s="21" t="s">
        <v>623</v>
      </c>
      <c r="B7" s="2" t="s">
        <v>372</v>
      </c>
      <c r="C7" s="2" t="e">
        <f ca="1">PAProjects5[[#This Row],[LINKING_CODE]]=_xlfn.CONCAT(PAProjects5[[#This Row],[Project Code]]," ",PAProjects5[[#This Row],[Project Name]])</f>
        <v>#NAME?</v>
      </c>
      <c r="D7" s="2" t="str">
        <f>VLOOKUP(PAProjects5[[#This Row],[LINKING_CODE]],MasterTable[[Project Code and Name ]],1,FALSE)</f>
        <v>0368 Development</v>
      </c>
      <c r="E7" s="2" t="s">
        <v>519</v>
      </c>
      <c r="F7" s="2" t="s">
        <v>960</v>
      </c>
      <c r="G7" s="2" t="s">
        <v>137</v>
      </c>
      <c r="H7" s="2" t="s">
        <v>962</v>
      </c>
      <c r="I7" s="2" t="s">
        <v>667</v>
      </c>
      <c r="J7" s="2" t="s">
        <v>973</v>
      </c>
      <c r="K7" s="2" t="s">
        <v>1509</v>
      </c>
      <c r="L7" s="35">
        <v>42186</v>
      </c>
      <c r="M7" s="35">
        <v>44742</v>
      </c>
      <c r="N7" s="20">
        <v>130</v>
      </c>
      <c r="O7" s="20"/>
      <c r="P7" s="20">
        <f t="shared" si="0"/>
        <v>130</v>
      </c>
      <c r="Q7" s="53">
        <f>SUMIFS(MasterTable[Estimate of Arrears at end of the current FY 2020/21 (value)],MasterTable[[Project Code and Name ]],PAProjects5[[#This Row],[LINKING_CODE]],MasterTable[Funding Source],"GoU Funded")/10^9</f>
        <v>5.2886757820000003</v>
      </c>
      <c r="R7" s="108">
        <f>SUMIFS(MasterTable[Arrears + All Contractual Commitments (value next FY)],MasterTable[[Project Code and Name ]],PAProjects5[[#This Row],[LINKING_CODE]],MasterTable[Funding Source],"GoU Funded")/10^9</f>
        <v>11.503351564000001</v>
      </c>
      <c r="S7" s="108">
        <f>SUMIFS(MasterTable[Arrears + All Contractual Commitments (value next FY)],MasterTable[[Project Code and Name ]],PAProjects5[[#This Row],[LINKING_CODE]],MasterTable[Funding Source],"External Financing")/10^9</f>
        <v>0</v>
      </c>
      <c r="T7" s="49">
        <f>PAProjects[[#This Row],[GOU 21/22]]+PAProjects[[#This Row],[DONOR 21/22]]</f>
        <v>11.503351564000001</v>
      </c>
      <c r="U7" s="107">
        <f>SUMIFS(MasterTable[FY1 (FY22-23)],MasterTable[[Project Code and Name ]],PAProjects5[[#This Row],[LINKING_CODE]],MasterTable[Funding Source],"GoU Funded")/10^9</f>
        <v>0</v>
      </c>
      <c r="V7" s="52">
        <f>SUMIFS(MasterTable[FY1 (FY22-23)],MasterTable[[Project Code and Name ]],PAProjects5[[#This Row],[LINKING_CODE]],MasterTable[Funding Source],"External Financing")/10^9</f>
        <v>0</v>
      </c>
      <c r="W7" s="49">
        <f>PAProjects[[#This Row],[GOU 22/23]]+PAProjects[[#This Row],[DONOR 22/23]]</f>
        <v>0</v>
      </c>
      <c r="X7" s="52">
        <f>SUMIFS(MasterTable[FY2 (FY23-24)],MasterTable[[Project Code and Name ]],PAProjects5[[#This Row],[LINKING_CODE]],MasterTable[Funding Source],"GoU Funded")/10^9</f>
        <v>0</v>
      </c>
      <c r="Y7" s="52">
        <f>SUMIFS(MasterTable[FY2 (FY23-24)],MasterTable[[Project Code and Name ]],PAProjects5[[#This Row],[LINKING_CODE]],MasterTable[Funding Source],"External Financing")/10^9</f>
        <v>0</v>
      </c>
      <c r="Z7" s="2">
        <f>X7+Y7</f>
        <v>0</v>
      </c>
      <c r="AA7" s="52">
        <f>SUMIFS(MasterTable[FY3 (FY24-25)],MasterTable[[Project Code and Name ]],PAProjects5[[#This Row],[LINKING_CODE]],MasterTable[Funding Source],"GoU Funded")/10^9</f>
        <v>0</v>
      </c>
      <c r="AB7" s="52">
        <f>SUMIFS(MasterTable[FY3 (FY24-25)],MasterTable[[Project Code and Name ]],PAProjects5[[#This Row],[LINKING_CODE]],MasterTable[Funding Source],"External Financing")/10^9</f>
        <v>0</v>
      </c>
      <c r="AC7" s="49">
        <f>PAProjects[[#This Row],[GOU 24/25]]+PAProjects[[#This Row],[DONOR 24/25]]</f>
        <v>0</v>
      </c>
    </row>
    <row r="8" spans="1:30" ht="15" hidden="1" customHeight="1" x14ac:dyDescent="0.25">
      <c r="A8" s="21" t="s">
        <v>225</v>
      </c>
      <c r="B8" s="2" t="s">
        <v>344</v>
      </c>
      <c r="C8" s="2" t="e">
        <f ca="1">PAProjects5[[#This Row],[LINKING_CODE]]=_xlfn.CONCAT(PAProjects5[[#This Row],[Project Code]]," ",PAProjects5[[#This Row],[Project Name]])</f>
        <v>#NAME?</v>
      </c>
      <c r="D8" s="2" t="str">
        <f>VLOOKUP(PAProjects5[[#This Row],[LINKING_CODE]],MasterTable[[Project Code and Name ]],1,FALSE)</f>
        <v>0890 Support to Justice Law and Order Sector</v>
      </c>
      <c r="E8" s="2" t="s">
        <v>527</v>
      </c>
      <c r="F8" s="2" t="s">
        <v>929</v>
      </c>
      <c r="G8" s="2" t="s">
        <v>957</v>
      </c>
      <c r="H8" s="2" t="s">
        <v>1113</v>
      </c>
      <c r="I8" s="2" t="s">
        <v>823</v>
      </c>
      <c r="J8" s="2" t="s">
        <v>824</v>
      </c>
      <c r="K8" s="2" t="s">
        <v>1509</v>
      </c>
      <c r="L8" s="23">
        <v>38899</v>
      </c>
      <c r="M8" s="23">
        <v>44742</v>
      </c>
      <c r="N8" s="24">
        <v>465.82</v>
      </c>
      <c r="O8" s="25">
        <v>558.23099999999999</v>
      </c>
      <c r="P8" s="20">
        <f t="shared" si="0"/>
        <v>1024.0509999999999</v>
      </c>
      <c r="Q8" s="53">
        <f>SUMIFS(MasterTable[Estimate of Arrears at end of the current FY 2020/21 (value)],MasterTable[[Project Code and Name ]],PAProjects5[[#This Row],[LINKING_CODE]],MasterTable[Funding Source],"GoU Funded")/10^9</f>
        <v>0</v>
      </c>
      <c r="R8" s="108">
        <f>SUMIFS(MasterTable[Arrears + All Contractual Commitments (value next FY)],MasterTable[[Project Code and Name ]],PAProjects5[[#This Row],[LINKING_CODE]],MasterTable[Funding Source],"GoU Funded")/10^9</f>
        <v>127.641716167</v>
      </c>
      <c r="S8" s="108">
        <f>SUMIFS(MasterTable[Arrears + All Contractual Commitments (value next FY)],MasterTable[[Project Code and Name ]],PAProjects5[[#This Row],[LINKING_CODE]],MasterTable[Funding Source],"External Financing")/10^9</f>
        <v>27.95</v>
      </c>
      <c r="T8" s="49">
        <f>PAProjects[[#This Row],[GOU 21/22]]+PAProjects[[#This Row],[DONOR 21/22]]</f>
        <v>155.59171616699999</v>
      </c>
      <c r="U8" s="107">
        <f>SUMIFS(MasterTable[FY1 (FY22-23)],MasterTable[[Project Code and Name ]],PAProjects5[[#This Row],[LINKING_CODE]],MasterTable[Funding Source],"GoU Funded")/10^9</f>
        <v>0</v>
      </c>
      <c r="V8" s="52">
        <f>SUMIFS(MasterTable[FY1 (FY22-23)],MasterTable[[Project Code and Name ]],PAProjects5[[#This Row],[LINKING_CODE]],MasterTable[Funding Source],"External Financing")/10^9</f>
        <v>0</v>
      </c>
      <c r="W8" s="49">
        <f>PAProjects[[#This Row],[GOU 22/23]]+PAProjects[[#This Row],[DONOR 22/23]]</f>
        <v>0</v>
      </c>
      <c r="X8" s="52">
        <f>SUMIFS(MasterTable[FY2 (FY23-24)],MasterTable[[Project Code and Name ]],PAProjects5[[#This Row],[LINKING_CODE]],MasterTable[Funding Source],"GoU Funded")/10^9</f>
        <v>0</v>
      </c>
      <c r="Y8" s="52">
        <f>SUMIFS(MasterTable[FY2 (FY23-24)],MasterTable[[Project Code and Name ]],PAProjects5[[#This Row],[LINKING_CODE]],MasterTable[Funding Source],"External Financing")/10^9</f>
        <v>0</v>
      </c>
      <c r="Z8" s="2"/>
      <c r="AA8" s="52">
        <f>SUMIFS(MasterTable[FY3 (FY24-25)],MasterTable[[Project Code and Name ]],PAProjects5[[#This Row],[LINKING_CODE]],MasterTable[Funding Source],"GoU Funded")/10^9</f>
        <v>0</v>
      </c>
      <c r="AB8" s="52">
        <f>SUMIFS(MasterTable[FY3 (FY24-25)],MasterTable[[Project Code and Name ]],PAProjects5[[#This Row],[LINKING_CODE]],MasterTable[Funding Source],"External Financing")/10^9</f>
        <v>0</v>
      </c>
      <c r="AC8" s="49">
        <f>PAProjects[[#This Row],[GOU 24/25]]+PAProjects[[#This Row],[DONOR 24/25]]</f>
        <v>0</v>
      </c>
    </row>
    <row r="9" spans="1:30" ht="15" hidden="1" customHeight="1" x14ac:dyDescent="0.25">
      <c r="A9" s="21" t="s">
        <v>1029</v>
      </c>
      <c r="B9" s="2" t="s">
        <v>386</v>
      </c>
      <c r="C9" s="2" t="e">
        <f ca="1">PAProjects5[[#This Row],[LINKING_CODE]]=_xlfn.CONCAT(PAProjects5[[#This Row],[Project Code]]," ",PAProjects5[[#This Row],[Project Name]])</f>
        <v>#NAME?</v>
      </c>
      <c r="D9" s="2" t="str">
        <f>VLOOKUP(PAProjects5[[#This Row],[LINKING_CODE]],MasterTable[[Project Code and Name ]],1,FALSE)</f>
        <v>0952 Design Masaka-Bukakata road</v>
      </c>
      <c r="E9" s="2" t="s">
        <v>515</v>
      </c>
      <c r="F9" s="2" t="s">
        <v>944</v>
      </c>
      <c r="G9" s="2" t="s">
        <v>113</v>
      </c>
      <c r="H9" s="2" t="s">
        <v>1007</v>
      </c>
      <c r="I9" s="2" t="s">
        <v>590</v>
      </c>
      <c r="J9" s="2" t="s">
        <v>1030</v>
      </c>
      <c r="K9" s="2" t="s">
        <v>1509</v>
      </c>
      <c r="L9" s="26">
        <v>41821</v>
      </c>
      <c r="M9" s="23">
        <v>44742</v>
      </c>
      <c r="N9" s="24">
        <v>50</v>
      </c>
      <c r="O9" s="25">
        <v>80</v>
      </c>
      <c r="P9" s="20">
        <f t="shared" si="0"/>
        <v>130</v>
      </c>
      <c r="Q9" s="53">
        <f>SUMIFS(MasterTable[Estimate of Arrears at end of the current FY 2020/21 (value)],MasterTable[[Project Code and Name ]],PAProjects5[[#This Row],[LINKING_CODE]],MasterTable[Funding Source],"GoU Funded")/10^9</f>
        <v>1.40803689</v>
      </c>
      <c r="R9" s="108">
        <f>SUMIFS(MasterTable[Arrears + All Contractual Commitments (value next FY)],MasterTable[[Project Code and Name ]],PAProjects5[[#This Row],[LINKING_CODE]],MasterTable[Funding Source],"GoU Funded")/10^9</f>
        <v>5.40803689</v>
      </c>
      <c r="S9" s="108">
        <f>SUMIFS(MasterTable[Arrears + All Contractual Commitments (value next FY)],MasterTable[[Project Code and Name ]],PAProjects5[[#This Row],[LINKING_CODE]],MasterTable[Funding Source],"External Financing")/10^9</f>
        <v>0</v>
      </c>
      <c r="T9" s="49">
        <f>PAProjects[[#This Row],[GOU 21/22]]+PAProjects[[#This Row],[DONOR 21/22]]</f>
        <v>5.40803689</v>
      </c>
      <c r="U9" s="107">
        <f>SUMIFS(MasterTable[FY1 (FY22-23)],MasterTable[[Project Code and Name ]],PAProjects5[[#This Row],[LINKING_CODE]],MasterTable[Funding Source],"GoU Funded")/10^9</f>
        <v>0</v>
      </c>
      <c r="V9" s="52">
        <f>SUMIFS(MasterTable[FY1 (FY22-23)],MasterTable[[Project Code and Name ]],PAProjects5[[#This Row],[LINKING_CODE]],MasterTable[Funding Source],"External Financing")/10^9</f>
        <v>0</v>
      </c>
      <c r="W9" s="49">
        <f>PAProjects[[#This Row],[GOU 22/23]]+PAProjects[[#This Row],[DONOR 22/23]]</f>
        <v>0</v>
      </c>
      <c r="X9" s="52">
        <f>SUMIFS(MasterTable[FY2 (FY23-24)],MasterTable[[Project Code and Name ]],PAProjects5[[#This Row],[LINKING_CODE]],MasterTable[Funding Source],"GoU Funded")/10^9</f>
        <v>0</v>
      </c>
      <c r="Y9" s="52">
        <f>SUMIFS(MasterTable[FY2 (FY23-24)],MasterTable[[Project Code and Name ]],PAProjects5[[#This Row],[LINKING_CODE]],MasterTable[Funding Source],"External Financing")/10^9</f>
        <v>0</v>
      </c>
      <c r="Z9" s="2">
        <f t="shared" ref="Z9:Z19" si="1">X9+Y9</f>
        <v>0</v>
      </c>
      <c r="AA9" s="52">
        <f>SUMIFS(MasterTable[FY3 (FY24-25)],MasterTable[[Project Code and Name ]],PAProjects5[[#This Row],[LINKING_CODE]],MasterTable[Funding Source],"GoU Funded")/10^9</f>
        <v>0</v>
      </c>
      <c r="AB9" s="52">
        <f>SUMIFS(MasterTable[FY3 (FY24-25)],MasterTable[[Project Code and Name ]],PAProjects5[[#This Row],[LINKING_CODE]],MasterTable[Funding Source],"External Financing")/10^9</f>
        <v>0</v>
      </c>
      <c r="AC9" s="49">
        <f>PAProjects[[#This Row],[GOU 24/25]]+PAProjects[[#This Row],[DONOR 24/25]]</f>
        <v>0</v>
      </c>
    </row>
    <row r="10" spans="1:30" ht="15" hidden="1" customHeight="1" x14ac:dyDescent="0.25">
      <c r="A10" s="21" t="s">
        <v>1031</v>
      </c>
      <c r="B10" s="2" t="s">
        <v>387</v>
      </c>
      <c r="C10" s="2" t="e">
        <f ca="1">PAProjects5[[#This Row],[LINKING_CODE]]=_xlfn.CONCAT(PAProjects5[[#This Row],[Project Code]]," ",PAProjects5[[#This Row],[Project Name]])</f>
        <v>#NAME?</v>
      </c>
      <c r="D10" s="2" t="str">
        <f>VLOOKUP(PAProjects5[[#This Row],[LINKING_CODE]],MasterTable[[Project Code and Name ]],1,FALSE)</f>
        <v>1040 Design Kapchorwa-Suam road (77km)</v>
      </c>
      <c r="E10" s="2" t="s">
        <v>515</v>
      </c>
      <c r="F10" s="2" t="s">
        <v>944</v>
      </c>
      <c r="G10" s="2" t="s">
        <v>113</v>
      </c>
      <c r="H10" s="2" t="s">
        <v>1007</v>
      </c>
      <c r="I10" s="2" t="s">
        <v>1032</v>
      </c>
      <c r="J10" s="2" t="s">
        <v>1033</v>
      </c>
      <c r="K10" s="2" t="s">
        <v>1509</v>
      </c>
      <c r="L10" s="26">
        <v>41305</v>
      </c>
      <c r="M10" s="23">
        <v>44742</v>
      </c>
      <c r="N10" s="24">
        <v>411.18799999999999</v>
      </c>
      <c r="O10" s="20"/>
      <c r="P10" s="20">
        <f t="shared" si="0"/>
        <v>411.18799999999999</v>
      </c>
      <c r="Q10" s="53">
        <f>SUMIFS(MasterTable[Estimate of Arrears at end of the current FY 2020/21 (value)],MasterTable[[Project Code and Name ]],PAProjects5[[#This Row],[LINKING_CODE]],MasterTable[Funding Source],"GoU Funded")/10^9</f>
        <v>0</v>
      </c>
      <c r="R10" s="108">
        <f>SUMIFS(MasterTable[Arrears + All Contractual Commitments (value next FY)],MasterTable[[Project Code and Name ]],PAProjects5[[#This Row],[LINKING_CODE]],MasterTable[Funding Source],"GoU Funded")/10^9</f>
        <v>6.5589903920000001</v>
      </c>
      <c r="S10" s="108">
        <f>SUMIFS(MasterTable[Arrears + All Contractual Commitments (value next FY)],MasterTable[[Project Code and Name ]],PAProjects5[[#This Row],[LINKING_CODE]],MasterTable[Funding Source],"External Financing")/10^9</f>
        <v>87.846368568000003</v>
      </c>
      <c r="T10" s="49">
        <f>PAProjects[[#This Row],[GOU 21/22]]+PAProjects[[#This Row],[DONOR 21/22]]</f>
        <v>94.405358960000001</v>
      </c>
      <c r="U10" s="107">
        <f>SUMIFS(MasterTable[FY1 (FY22-23)],MasterTable[[Project Code and Name ]],PAProjects5[[#This Row],[LINKING_CODE]],MasterTable[Funding Source],"GoU Funded")/10^9</f>
        <v>0</v>
      </c>
      <c r="V10" s="52">
        <f>SUMIFS(MasterTable[FY1 (FY22-23)],MasterTable[[Project Code and Name ]],PAProjects5[[#This Row],[LINKING_CODE]],MasterTable[Funding Source],"External Financing")/10^9</f>
        <v>0</v>
      </c>
      <c r="W10" s="49">
        <f>PAProjects[[#This Row],[GOU 22/23]]+PAProjects[[#This Row],[DONOR 22/23]]</f>
        <v>0</v>
      </c>
      <c r="X10" s="52">
        <f>SUMIFS(MasterTable[FY2 (FY23-24)],MasterTable[[Project Code and Name ]],PAProjects5[[#This Row],[LINKING_CODE]],MasterTable[Funding Source],"GoU Funded")/10^9</f>
        <v>0</v>
      </c>
      <c r="Y10" s="52">
        <f>SUMIFS(MasterTable[FY2 (FY23-24)],MasterTable[[Project Code and Name ]],PAProjects5[[#This Row],[LINKING_CODE]],MasterTable[Funding Source],"External Financing")/10^9</f>
        <v>0</v>
      </c>
      <c r="Z10" s="2">
        <f t="shared" si="1"/>
        <v>0</v>
      </c>
      <c r="AA10" s="52">
        <f>SUMIFS(MasterTable[FY3 (FY24-25)],MasterTable[[Project Code and Name ]],PAProjects5[[#This Row],[LINKING_CODE]],MasterTable[Funding Source],"GoU Funded")/10^9</f>
        <v>0</v>
      </c>
      <c r="AB10" s="52">
        <f>SUMIFS(MasterTable[FY3 (FY24-25)],MasterTable[[Project Code and Name ]],PAProjects5[[#This Row],[LINKING_CODE]],MasterTable[Funding Source],"External Financing")/10^9</f>
        <v>0</v>
      </c>
      <c r="AC10" s="49">
        <f>PAProjects[[#This Row],[GOU 24/25]]+PAProjects[[#This Row],[DONOR 24/25]]</f>
        <v>0</v>
      </c>
    </row>
    <row r="11" spans="1:30" ht="15" hidden="1" customHeight="1" x14ac:dyDescent="0.25">
      <c r="A11" s="21" t="s">
        <v>1034</v>
      </c>
      <c r="B11" s="2" t="s">
        <v>388</v>
      </c>
      <c r="C11" s="2" t="e">
        <f ca="1">PAProjects5[[#This Row],[LINKING_CODE]]=_xlfn.CONCAT(PAProjects5[[#This Row],[Project Code]]," ",PAProjects5[[#This Row],[Project Name]])</f>
        <v>#NAME?</v>
      </c>
      <c r="D11" s="2" t="str">
        <f>VLOOKUP(PAProjects5[[#This Row],[LINKING_CODE]],MasterTable[[Project Code and Name ]],1,FALSE)</f>
        <v>1041 Design Kyenjojo-Hoima-Masindi-Kigumba (238km)</v>
      </c>
      <c r="E11" s="2" t="s">
        <v>515</v>
      </c>
      <c r="F11" s="2" t="s">
        <v>944</v>
      </c>
      <c r="G11" s="2" t="s">
        <v>113</v>
      </c>
      <c r="H11" s="2" t="s">
        <v>1007</v>
      </c>
      <c r="I11" s="2" t="s">
        <v>1035</v>
      </c>
      <c r="J11" s="2" t="s">
        <v>593</v>
      </c>
      <c r="K11" s="2" t="s">
        <v>1509</v>
      </c>
      <c r="L11" s="26">
        <v>41670</v>
      </c>
      <c r="M11" s="23">
        <v>44742</v>
      </c>
      <c r="N11" s="20"/>
      <c r="O11" s="20"/>
      <c r="P11" s="20">
        <f t="shared" si="0"/>
        <v>0</v>
      </c>
      <c r="Q11" s="53">
        <f>SUMIFS(MasterTable[Estimate of Arrears at end of the current FY 2020/21 (value)],MasterTable[[Project Code and Name ]],PAProjects5[[#This Row],[LINKING_CODE]],MasterTable[Funding Source],"GoU Funded")/10^9</f>
        <v>0</v>
      </c>
      <c r="R11" s="108">
        <f>SUMIFS(MasterTable[Arrears + All Contractual Commitments (value next FY)],MasterTable[[Project Code and Name ]],PAProjects5[[#This Row],[LINKING_CODE]],MasterTable[Funding Source],"GoU Funded")/10^9</f>
        <v>7.2691137440000002</v>
      </c>
      <c r="S11" s="108">
        <f>SUMIFS(MasterTable[Arrears + All Contractual Commitments (value next FY)],MasterTable[[Project Code and Name ]],PAProjects5[[#This Row],[LINKING_CODE]],MasterTable[Funding Source],"External Financing")/10^9</f>
        <v>79.964761226999997</v>
      </c>
      <c r="T11" s="49">
        <f>PAProjects[[#This Row],[GOU 21/22]]+PAProjects[[#This Row],[DONOR 21/22]]</f>
        <v>87.233874970999992</v>
      </c>
      <c r="U11" s="107">
        <f>SUMIFS(MasterTable[FY1 (FY22-23)],MasterTable[[Project Code and Name ]],PAProjects5[[#This Row],[LINKING_CODE]],MasterTable[Funding Source],"GoU Funded")/10^9</f>
        <v>0</v>
      </c>
      <c r="V11" s="52">
        <f>SUMIFS(MasterTable[FY1 (FY22-23)],MasterTable[[Project Code and Name ]],PAProjects5[[#This Row],[LINKING_CODE]],MasterTable[Funding Source],"External Financing")/10^9</f>
        <v>0</v>
      </c>
      <c r="W11" s="49">
        <f>PAProjects[[#This Row],[GOU 22/23]]+PAProjects[[#This Row],[DONOR 22/23]]</f>
        <v>0</v>
      </c>
      <c r="X11" s="52">
        <f>SUMIFS(MasterTable[FY2 (FY23-24)],MasterTable[[Project Code and Name ]],PAProjects5[[#This Row],[LINKING_CODE]],MasterTable[Funding Source],"GoU Funded")/10^9</f>
        <v>0</v>
      </c>
      <c r="Y11" s="52">
        <f>SUMIFS(MasterTable[FY2 (FY23-24)],MasterTable[[Project Code and Name ]],PAProjects5[[#This Row],[LINKING_CODE]],MasterTable[Funding Source],"External Financing")/10^9</f>
        <v>0</v>
      </c>
      <c r="Z11" s="2">
        <f t="shared" si="1"/>
        <v>0</v>
      </c>
      <c r="AA11" s="52">
        <f>SUMIFS(MasterTable[FY3 (FY24-25)],MasterTable[[Project Code and Name ]],PAProjects5[[#This Row],[LINKING_CODE]],MasterTable[Funding Source],"GoU Funded")/10^9</f>
        <v>0</v>
      </c>
      <c r="AB11" s="52">
        <f>SUMIFS(MasterTable[FY3 (FY24-25)],MasterTable[[Project Code and Name ]],PAProjects5[[#This Row],[LINKING_CODE]],MasterTable[Funding Source],"External Financing")/10^9</f>
        <v>0</v>
      </c>
      <c r="AC11" s="49">
        <f>PAProjects[[#This Row],[GOU 24/25]]+PAProjects[[#This Row],[DONOR 24/25]]</f>
        <v>0</v>
      </c>
    </row>
    <row r="12" spans="1:30" ht="15" hidden="1" customHeight="1" x14ac:dyDescent="0.25">
      <c r="A12" s="21" t="s">
        <v>579</v>
      </c>
      <c r="B12" s="2" t="s">
        <v>435</v>
      </c>
      <c r="C12" s="2" t="e">
        <f ca="1">PAProjects5[[#This Row],[LINKING_CODE]]=_xlfn.CONCAT(PAProjects5[[#This Row],[Project Code]]," ",PAProjects5[[#This Row],[Project Name]])</f>
        <v>#NAME?</v>
      </c>
      <c r="D12" s="2" t="str">
        <f>VLOOKUP(PAProjects5[[#This Row],[LINKING_CODE]],MasterTable[[Project Code and Name ]],1,FALSE)</f>
        <v>1096 Support to Computerised Driving Permits</v>
      </c>
      <c r="E12" s="2" t="s">
        <v>515</v>
      </c>
      <c r="F12" s="2" t="s">
        <v>944</v>
      </c>
      <c r="G12" s="2" t="s">
        <v>99</v>
      </c>
      <c r="H12" s="2" t="s">
        <v>947</v>
      </c>
      <c r="I12" s="2" t="s">
        <v>945</v>
      </c>
      <c r="J12" s="2" t="s">
        <v>946</v>
      </c>
      <c r="K12" s="2" t="s">
        <v>1509</v>
      </c>
      <c r="L12" s="26">
        <v>41456</v>
      </c>
      <c r="M12" s="23">
        <v>44742</v>
      </c>
      <c r="N12" s="24">
        <v>119.57</v>
      </c>
      <c r="O12" s="20"/>
      <c r="P12" s="20">
        <f t="shared" si="0"/>
        <v>119.57</v>
      </c>
      <c r="Q12" s="53">
        <f>SUMIFS(MasterTable[Estimate of Arrears at end of the current FY 2020/21 (value)],MasterTable[[Project Code and Name ]],PAProjects5[[#This Row],[LINKING_CODE]],MasterTable[Funding Source],"GoU Funded")/10^9</f>
        <v>0</v>
      </c>
      <c r="R12" s="108">
        <f>SUMIFS(MasterTable[Arrears + All Contractual Commitments (value next FY)],MasterTable[[Project Code and Name ]],PAProjects5[[#This Row],[LINKING_CODE]],MasterTable[Funding Source],"GoU Funded")/10^9</f>
        <v>29.2</v>
      </c>
      <c r="S12" s="108">
        <f>SUMIFS(MasterTable[Arrears + All Contractual Commitments (value next FY)],MasterTable[[Project Code and Name ]],PAProjects5[[#This Row],[LINKING_CODE]],MasterTable[Funding Source],"External Financing")/10^9</f>
        <v>0</v>
      </c>
      <c r="T12" s="49">
        <f>PAProjects[[#This Row],[GOU 21/22]]+PAProjects[[#This Row],[DONOR 21/22]]</f>
        <v>29.2</v>
      </c>
      <c r="U12" s="107">
        <f>SUMIFS(MasterTable[FY1 (FY22-23)],MasterTable[[Project Code and Name ]],PAProjects5[[#This Row],[LINKING_CODE]],MasterTable[Funding Source],"GoU Funded")/10^9</f>
        <v>0</v>
      </c>
      <c r="V12" s="52">
        <f>SUMIFS(MasterTable[FY1 (FY22-23)],MasterTable[[Project Code and Name ]],PAProjects5[[#This Row],[LINKING_CODE]],MasterTable[Funding Source],"External Financing")/10^9</f>
        <v>0</v>
      </c>
      <c r="W12" s="49">
        <f>PAProjects[[#This Row],[GOU 22/23]]+PAProjects[[#This Row],[DONOR 22/23]]</f>
        <v>0</v>
      </c>
      <c r="X12" s="52">
        <f>SUMIFS(MasterTable[FY2 (FY23-24)],MasterTable[[Project Code and Name ]],PAProjects5[[#This Row],[LINKING_CODE]],MasterTable[Funding Source],"GoU Funded")/10^9</f>
        <v>0</v>
      </c>
      <c r="Y12" s="52">
        <f>SUMIFS(MasterTable[FY2 (FY23-24)],MasterTable[[Project Code and Name ]],PAProjects5[[#This Row],[LINKING_CODE]],MasterTable[Funding Source],"External Financing")/10^9</f>
        <v>0</v>
      </c>
      <c r="Z12" s="2">
        <f t="shared" si="1"/>
        <v>0</v>
      </c>
      <c r="AA12" s="52">
        <f>SUMIFS(MasterTable[FY3 (FY24-25)],MasterTable[[Project Code and Name ]],PAProjects5[[#This Row],[LINKING_CODE]],MasterTable[Funding Source],"GoU Funded")/10^9</f>
        <v>0</v>
      </c>
      <c r="AB12" s="52">
        <f>SUMIFS(MasterTable[FY3 (FY24-25)],MasterTable[[Project Code and Name ]],PAProjects5[[#This Row],[LINKING_CODE]],MasterTable[Funding Source],"External Financing")/10^9</f>
        <v>0</v>
      </c>
      <c r="AC12" s="49">
        <f>PAProjects[[#This Row],[GOU 24/25]]+PAProjects[[#This Row],[DONOR 24/25]]</f>
        <v>0</v>
      </c>
    </row>
    <row r="13" spans="1:30" ht="15" hidden="1" customHeight="1" x14ac:dyDescent="0.25">
      <c r="A13" s="21" t="s">
        <v>270</v>
      </c>
      <c r="B13" s="2" t="s">
        <v>433</v>
      </c>
      <c r="C13" s="2" t="e">
        <f ca="1">PAProjects5[[#This Row],[LINKING_CODE]]=_xlfn.CONCAT(PAProjects5[[#This Row],[Project Code]]," ",PAProjects5[[#This Row],[Project Name]])</f>
        <v>#NAME?</v>
      </c>
      <c r="D13" s="2" t="str">
        <f>VLOOKUP(PAProjects5[[#This Row],[LINKING_CODE]],MasterTable[[Project Code and Name ]],1,FALSE)</f>
        <v>1097 New Standard Gauge Railway Line</v>
      </c>
      <c r="E13" s="2" t="s">
        <v>515</v>
      </c>
      <c r="F13" s="2" t="s">
        <v>944</v>
      </c>
      <c r="G13" s="2" t="s">
        <v>99</v>
      </c>
      <c r="H13" s="2" t="s">
        <v>1238</v>
      </c>
      <c r="I13" s="2" t="s">
        <v>1236</v>
      </c>
      <c r="J13" s="2" t="s">
        <v>1237</v>
      </c>
      <c r="K13" s="2" t="s">
        <v>1509</v>
      </c>
      <c r="L13" s="26">
        <v>41456</v>
      </c>
      <c r="M13" s="23">
        <v>44742</v>
      </c>
      <c r="N13" s="24">
        <v>1470.2912595360001</v>
      </c>
      <c r="O13" s="25">
        <v>8674.0786399999997</v>
      </c>
      <c r="P13" s="20">
        <f t="shared" si="0"/>
        <v>10144.369899535999</v>
      </c>
      <c r="Q13" s="53">
        <f>SUMIFS(MasterTable[Estimate of Arrears at end of the current FY 2020/21 (value)],MasterTable[[Project Code and Name ]],PAProjects5[[#This Row],[LINKING_CODE]],MasterTable[Funding Source],"GoU Funded")/10^9</f>
        <v>0</v>
      </c>
      <c r="R13" s="108">
        <f>SUMIFS(MasterTable[Arrears + All Contractual Commitments (value next FY)],MasterTable[[Project Code and Name ]],PAProjects5[[#This Row],[LINKING_CODE]],MasterTable[Funding Source],"GoU Funded")/10^9</f>
        <v>19</v>
      </c>
      <c r="S13" s="108">
        <f>SUMIFS(MasterTable[Arrears + All Contractual Commitments (value next FY)],MasterTable[[Project Code and Name ]],PAProjects5[[#This Row],[LINKING_CODE]],MasterTable[Funding Source],"External Financing")/10^9</f>
        <v>0</v>
      </c>
      <c r="T13" s="39">
        <f>PAProjects[[#This Row],[GOU 21/22]]+PAProjects[[#This Row],[DONOR 21/22]]</f>
        <v>19</v>
      </c>
      <c r="U13" s="107">
        <f>SUMIFS(MasterTable[FY1 (FY22-23)],MasterTable[[Project Code and Name ]],PAProjects5[[#This Row],[LINKING_CODE]],MasterTable[Funding Source],"GoU Funded")/10^9</f>
        <v>0</v>
      </c>
      <c r="V13" s="52">
        <f>SUMIFS(MasterTable[FY1 (FY22-23)],MasterTable[[Project Code and Name ]],PAProjects5[[#This Row],[LINKING_CODE]],MasterTable[Funding Source],"External Financing")/10^9</f>
        <v>0</v>
      </c>
      <c r="W13" s="49">
        <f>PAProjects[[#This Row],[GOU 22/23]]+PAProjects[[#This Row],[DONOR 22/23]]</f>
        <v>0</v>
      </c>
      <c r="X13" s="52">
        <f>SUMIFS(MasterTable[FY2 (FY23-24)],MasterTable[[Project Code and Name ]],PAProjects5[[#This Row],[LINKING_CODE]],MasterTable[Funding Source],"GoU Funded")/10^9</f>
        <v>0</v>
      </c>
      <c r="Y13" s="52">
        <f>SUMIFS(MasterTable[FY2 (FY23-24)],MasterTable[[Project Code and Name ]],PAProjects5[[#This Row],[LINKING_CODE]],MasterTable[Funding Source],"External Financing")/10^9</f>
        <v>0</v>
      </c>
      <c r="Z13" s="2">
        <f t="shared" si="1"/>
        <v>0</v>
      </c>
      <c r="AA13" s="52">
        <f>SUMIFS(MasterTable[FY3 (FY24-25)],MasterTable[[Project Code and Name ]],PAProjects5[[#This Row],[LINKING_CODE]],MasterTable[Funding Source],"GoU Funded")/10^9</f>
        <v>0</v>
      </c>
      <c r="AB13" s="52">
        <f>SUMIFS(MasterTable[FY3 (FY24-25)],MasterTable[[Project Code and Name ]],PAProjects5[[#This Row],[LINKING_CODE]],MasterTable[Funding Source],"External Financing")/10^9</f>
        <v>0</v>
      </c>
      <c r="AC13" s="49">
        <f>PAProjects[[#This Row],[GOU 24/25]]+PAProjects[[#This Row],[DONOR 24/25]]</f>
        <v>0</v>
      </c>
    </row>
    <row r="14" spans="1:30" ht="15" hidden="1" customHeight="1" x14ac:dyDescent="0.25">
      <c r="A14" s="21" t="s">
        <v>272</v>
      </c>
      <c r="B14" s="2" t="s">
        <v>34</v>
      </c>
      <c r="C14" s="2" t="e">
        <f ca="1">PAProjects5[[#This Row],[LINKING_CODE]]=_xlfn.CONCAT(PAProjects5[[#This Row],[Project Code]]," ",PAProjects5[[#This Row],[Project Name]])</f>
        <v>#NAME?</v>
      </c>
      <c r="D14" s="2" t="str">
        <f>VLOOKUP(PAProjects5[[#This Row],[LINKING_CODE]],MasterTable[[Project Code and Name ]],1,FALSE)</f>
        <v>1143 Isimba HPP</v>
      </c>
      <c r="E14" s="2" t="s">
        <v>513</v>
      </c>
      <c r="F14" s="2" t="s">
        <v>1089</v>
      </c>
      <c r="G14" s="2" t="s">
        <v>66</v>
      </c>
      <c r="H14" s="2" t="s">
        <v>1251</v>
      </c>
      <c r="I14" s="2" t="s">
        <v>1241</v>
      </c>
      <c r="J14" s="2" t="s">
        <v>560</v>
      </c>
      <c r="K14" s="2" t="s">
        <v>1509</v>
      </c>
      <c r="L14" s="23">
        <v>41091</v>
      </c>
      <c r="M14" s="23">
        <v>44742</v>
      </c>
      <c r="N14" s="41">
        <v>264</v>
      </c>
      <c r="O14" s="41">
        <v>1499.3999999999999</v>
      </c>
      <c r="P14" s="20">
        <f t="shared" si="0"/>
        <v>1763.3999999999999</v>
      </c>
      <c r="Q14" s="53">
        <f>SUMIFS(MasterTable[Estimate of Arrears at end of the current FY 2020/21 (value)],MasterTable[[Project Code and Name ]],PAProjects5[[#This Row],[LINKING_CODE]],MasterTable[Funding Source],"GoU Funded")/10^9</f>
        <v>0</v>
      </c>
      <c r="R14" s="108">
        <f>SUMIFS(MasterTable[Arrears + All Contractual Commitments (value next FY)],MasterTable[[Project Code and Name ]],PAProjects5[[#This Row],[LINKING_CODE]],MasterTable[Funding Source],"GoU Funded")/10^9</f>
        <v>18.559999999999999</v>
      </c>
      <c r="S14" s="108">
        <f>SUMIFS(MasterTable[Arrears + All Contractual Commitments (value next FY)],MasterTable[[Project Code and Name ]],PAProjects5[[#This Row],[LINKING_CODE]],MasterTable[Funding Source],"External Financing")/10^9</f>
        <v>110.71</v>
      </c>
      <c r="T14" s="49">
        <f>PAProjects[[#This Row],[GOU 21/22]]+PAProjects[[#This Row],[DONOR 21/22]]</f>
        <v>129.26999999999998</v>
      </c>
      <c r="U14" s="107">
        <f>SUMIFS(MasterTable[FY1 (FY22-23)],MasterTable[[Project Code and Name ]],PAProjects5[[#This Row],[LINKING_CODE]],MasterTable[Funding Source],"GoU Funded")/10^9</f>
        <v>0</v>
      </c>
      <c r="V14" s="52">
        <f>SUMIFS(MasterTable[FY1 (FY22-23)],MasterTable[[Project Code and Name ]],PAProjects5[[#This Row],[LINKING_CODE]],MasterTable[Funding Source],"External Financing")/10^9</f>
        <v>0</v>
      </c>
      <c r="W14" s="49">
        <f>PAProjects[[#This Row],[GOU 22/23]]+PAProjects[[#This Row],[DONOR 22/23]]</f>
        <v>0</v>
      </c>
      <c r="X14" s="52">
        <f>SUMIFS(MasterTable[FY2 (FY23-24)],MasterTable[[Project Code and Name ]],PAProjects5[[#This Row],[LINKING_CODE]],MasterTable[Funding Source],"GoU Funded")/10^9</f>
        <v>0</v>
      </c>
      <c r="Y14" s="52">
        <f>SUMIFS(MasterTable[FY2 (FY23-24)],MasterTable[[Project Code and Name ]],PAProjects5[[#This Row],[LINKING_CODE]],MasterTable[Funding Source],"External Financing")/10^9</f>
        <v>0</v>
      </c>
      <c r="Z14" s="2">
        <f t="shared" si="1"/>
        <v>0</v>
      </c>
      <c r="AA14" s="52">
        <f>SUMIFS(MasterTable[FY3 (FY24-25)],MasterTable[[Project Code and Name ]],PAProjects5[[#This Row],[LINKING_CODE]],MasterTable[Funding Source],"GoU Funded")/10^9</f>
        <v>0</v>
      </c>
      <c r="AB14" s="52">
        <f>SUMIFS(MasterTable[FY3 (FY24-25)],MasterTable[[Project Code and Name ]],PAProjects5[[#This Row],[LINKING_CODE]],MasterTable[Funding Source],"External Financing")/10^9</f>
        <v>0</v>
      </c>
      <c r="AC14" s="49">
        <f>PAProjects[[#This Row],[GOU 24/25]]+PAProjects[[#This Row],[DONOR 24/25]]</f>
        <v>0</v>
      </c>
    </row>
    <row r="15" spans="1:30" ht="15" hidden="1" customHeight="1" x14ac:dyDescent="0.25">
      <c r="A15" s="21" t="s">
        <v>1036</v>
      </c>
      <c r="B15" s="2" t="s">
        <v>389</v>
      </c>
      <c r="C15" s="2" t="e">
        <f ca="1">PAProjects5[[#This Row],[LINKING_CODE]]=_xlfn.CONCAT(PAProjects5[[#This Row],[Project Code]]," ",PAProjects5[[#This Row],[Project Name]])</f>
        <v>#NAME?</v>
      </c>
      <c r="D15" s="2" t="str">
        <f>VLOOKUP(PAProjects5[[#This Row],[LINKING_CODE]],MasterTable[[Project Code and Name ]],1,FALSE)</f>
        <v>1176 Hoima-Wanseko Road (83Km)</v>
      </c>
      <c r="E15" s="2" t="s">
        <v>515</v>
      </c>
      <c r="F15" s="2" t="s">
        <v>944</v>
      </c>
      <c r="G15" s="2" t="s">
        <v>113</v>
      </c>
      <c r="H15" s="2" t="s">
        <v>1007</v>
      </c>
      <c r="I15" s="2" t="s">
        <v>1037</v>
      </c>
      <c r="J15" s="2" t="s">
        <v>1038</v>
      </c>
      <c r="K15" s="2" t="s">
        <v>1509</v>
      </c>
      <c r="L15" s="26">
        <v>40877</v>
      </c>
      <c r="M15" s="23">
        <v>44742</v>
      </c>
      <c r="N15" s="24">
        <v>76.534999999999997</v>
      </c>
      <c r="O15" s="25">
        <v>330</v>
      </c>
      <c r="P15" s="20">
        <f t="shared" si="0"/>
        <v>406.53499999999997</v>
      </c>
      <c r="Q15" s="53">
        <f>SUMIFS(MasterTable[Estimate of Arrears at end of the current FY 2020/21 (value)],MasterTable[[Project Code and Name ]],PAProjects5[[#This Row],[LINKING_CODE]],MasterTable[Funding Source],"GoU Funded")/10^9</f>
        <v>83.304597756999996</v>
      </c>
      <c r="R15" s="108">
        <f>SUMIFS(MasterTable[Arrears + All Contractual Commitments (value next FY)],MasterTable[[Project Code and Name ]],PAProjects5[[#This Row],[LINKING_CODE]],MasterTable[Funding Source],"GoU Funded")/10^9</f>
        <v>156.208680937</v>
      </c>
      <c r="S15" s="108">
        <f>SUMIFS(MasterTable[Arrears + All Contractual Commitments (value next FY)],MasterTable[[Project Code and Name ]],PAProjects5[[#This Row],[LINKING_CODE]],MasterTable[Funding Source],"External Financing")/10^9</f>
        <v>561.12125669500006</v>
      </c>
      <c r="T15" s="49">
        <f>PAProjects[[#This Row],[GOU 21/22]]+PAProjects[[#This Row],[DONOR 21/22]]</f>
        <v>717.32993763200011</v>
      </c>
      <c r="U15" s="107">
        <f>SUMIFS(MasterTable[FY1 (FY22-23)],MasterTable[[Project Code and Name ]],PAProjects5[[#This Row],[LINKING_CODE]],MasterTable[Funding Source],"GoU Funded")/10^9</f>
        <v>0</v>
      </c>
      <c r="V15" s="52">
        <f>SUMIFS(MasterTable[FY1 (FY22-23)],MasterTable[[Project Code and Name ]],PAProjects5[[#This Row],[LINKING_CODE]],MasterTable[Funding Source],"External Financing")/10^9</f>
        <v>0</v>
      </c>
      <c r="W15" s="49">
        <f>PAProjects[[#This Row],[GOU 22/23]]+PAProjects[[#This Row],[DONOR 22/23]]</f>
        <v>0</v>
      </c>
      <c r="X15" s="52">
        <f>SUMIFS(MasterTable[FY2 (FY23-24)],MasterTable[[Project Code and Name ]],PAProjects5[[#This Row],[LINKING_CODE]],MasterTable[Funding Source],"GoU Funded")/10^9</f>
        <v>0</v>
      </c>
      <c r="Y15" s="52">
        <f>SUMIFS(MasterTable[FY2 (FY23-24)],MasterTable[[Project Code and Name ]],PAProjects5[[#This Row],[LINKING_CODE]],MasterTable[Funding Source],"External Financing")/10^9</f>
        <v>0</v>
      </c>
      <c r="Z15" s="2">
        <f t="shared" si="1"/>
        <v>0</v>
      </c>
      <c r="AA15" s="52">
        <f>SUMIFS(MasterTable[FY3 (FY24-25)],MasterTable[[Project Code and Name ]],PAProjects5[[#This Row],[LINKING_CODE]],MasterTable[Funding Source],"GoU Funded")/10^9</f>
        <v>0</v>
      </c>
      <c r="AB15" s="52">
        <f>SUMIFS(MasterTable[FY3 (FY24-25)],MasterTable[[Project Code and Name ]],PAProjects5[[#This Row],[LINKING_CODE]],MasterTable[Funding Source],"External Financing")/10^9</f>
        <v>0</v>
      </c>
      <c r="AC15" s="49">
        <f>PAProjects[[#This Row],[GOU 24/25]]+PAProjects[[#This Row],[DONOR 24/25]]</f>
        <v>0</v>
      </c>
    </row>
    <row r="16" spans="1:30" ht="15" hidden="1" customHeight="1" x14ac:dyDescent="0.25">
      <c r="A16" s="21" t="s">
        <v>273</v>
      </c>
      <c r="B16" s="2" t="s">
        <v>38</v>
      </c>
      <c r="C16" s="2" t="e">
        <f ca="1">PAProjects5[[#This Row],[LINKING_CODE]]=_xlfn.CONCAT(PAProjects5[[#This Row],[Project Code]]," ",PAProjects5[[#This Row],[Project Name]])</f>
        <v>#NAME?</v>
      </c>
      <c r="D16" s="2" t="str">
        <f>VLOOKUP(PAProjects5[[#This Row],[LINKING_CODE]],MasterTable[[Project Code and Name ]],1,FALSE)</f>
        <v>1183 Karuma Hydoelectricity Power Project</v>
      </c>
      <c r="E16" s="2" t="s">
        <v>513</v>
      </c>
      <c r="F16" s="2" t="s">
        <v>1089</v>
      </c>
      <c r="G16" s="2" t="s">
        <v>66</v>
      </c>
      <c r="H16" s="2" t="s">
        <v>1251</v>
      </c>
      <c r="I16" s="2" t="s">
        <v>1242</v>
      </c>
      <c r="J16" s="2" t="s">
        <v>572</v>
      </c>
      <c r="K16" s="2" t="s">
        <v>1509</v>
      </c>
      <c r="L16" s="23">
        <v>40893</v>
      </c>
      <c r="M16" s="23">
        <v>44742</v>
      </c>
      <c r="N16" s="30">
        <v>2292.1</v>
      </c>
      <c r="O16" s="31">
        <v>3586.92</v>
      </c>
      <c r="P16" s="20">
        <f t="shared" si="0"/>
        <v>5879.02</v>
      </c>
      <c r="Q16" s="53">
        <f>SUMIFS(MasterTable[Estimate of Arrears at end of the current FY 2020/21 (value)],MasterTable[[Project Code and Name ]],PAProjects5[[#This Row],[LINKING_CODE]],MasterTable[Funding Source],"GoU Funded")/10^9</f>
        <v>0</v>
      </c>
      <c r="R16" s="108">
        <f>SUMIFS(MasterTable[Arrears + All Contractual Commitments (value next FY)],MasterTable[[Project Code and Name ]],PAProjects5[[#This Row],[LINKING_CODE]],MasterTable[Funding Source],"GoU Funded")/10^9</f>
        <v>31</v>
      </c>
      <c r="S16" s="108">
        <f>SUMIFS(MasterTable[Arrears + All Contractual Commitments (value next FY)],MasterTable[[Project Code and Name ]],PAProjects5[[#This Row],[LINKING_CODE]],MasterTable[Funding Source],"External Financing")/10^9</f>
        <v>0</v>
      </c>
      <c r="T16" s="38">
        <f>PAProjects[[#This Row],[GOU 21/22]]+PAProjects[[#This Row],[DONOR 21/22]]</f>
        <v>31</v>
      </c>
      <c r="U16" s="107">
        <f>SUMIFS(MasterTable[FY1 (FY22-23)],MasterTable[[Project Code and Name ]],PAProjects5[[#This Row],[LINKING_CODE]],MasterTable[Funding Source],"GoU Funded")/10^9</f>
        <v>0</v>
      </c>
      <c r="V16" s="52">
        <f>SUMIFS(MasterTable[FY1 (FY22-23)],MasterTable[[Project Code and Name ]],PAProjects5[[#This Row],[LINKING_CODE]],MasterTable[Funding Source],"External Financing")/10^9</f>
        <v>0</v>
      </c>
      <c r="W16" s="49">
        <f>PAProjects[[#This Row],[GOU 22/23]]+PAProjects[[#This Row],[DONOR 22/23]]</f>
        <v>0</v>
      </c>
      <c r="X16" s="52">
        <f>SUMIFS(MasterTable[FY2 (FY23-24)],MasterTable[[Project Code and Name ]],PAProjects5[[#This Row],[LINKING_CODE]],MasterTable[Funding Source],"GoU Funded")/10^9</f>
        <v>0</v>
      </c>
      <c r="Y16" s="52">
        <f>SUMIFS(MasterTable[FY2 (FY23-24)],MasterTable[[Project Code and Name ]],PAProjects5[[#This Row],[LINKING_CODE]],MasterTable[Funding Source],"External Financing")/10^9</f>
        <v>0</v>
      </c>
      <c r="Z16" s="2">
        <f t="shared" si="1"/>
        <v>0</v>
      </c>
      <c r="AA16" s="52">
        <f>SUMIFS(MasterTable[FY3 (FY24-25)],MasterTable[[Project Code and Name ]],PAProjects5[[#This Row],[LINKING_CODE]],MasterTable[Funding Source],"GoU Funded")/10^9</f>
        <v>0</v>
      </c>
      <c r="AB16" s="52">
        <f>SUMIFS(MasterTable[FY3 (FY24-25)],MasterTable[[Project Code and Name ]],PAProjects5[[#This Row],[LINKING_CODE]],MasterTable[Funding Source],"External Financing")/10^9</f>
        <v>0</v>
      </c>
      <c r="AC16" s="49">
        <f>PAProjects[[#This Row],[GOU 24/25]]+PAProjects[[#This Row],[DONOR 24/25]]</f>
        <v>0</v>
      </c>
    </row>
    <row r="17" spans="1:29" ht="15" hidden="1" customHeight="1" x14ac:dyDescent="0.25">
      <c r="A17" s="21" t="s">
        <v>142</v>
      </c>
      <c r="B17" s="2" t="s">
        <v>54</v>
      </c>
      <c r="C17" s="2" t="e">
        <f ca="1">PAProjects5[[#This Row],[LINKING_CODE]]=_xlfn.CONCAT(PAProjects5[[#This Row],[Project Code]]," ",PAProjects5[[#This Row],[Project Name]])</f>
        <v>#NAME?</v>
      </c>
      <c r="D17" s="2" t="str">
        <f>VLOOKUP(PAProjects5[[#This Row],[LINKING_CODE]],MasterTable[[Project Code and Name ]],1,FALSE)</f>
        <v>1184 Construction of Oil Refinery</v>
      </c>
      <c r="E17" s="2" t="s">
        <v>513</v>
      </c>
      <c r="F17" s="2" t="s">
        <v>1089</v>
      </c>
      <c r="G17" s="2" t="s">
        <v>66</v>
      </c>
      <c r="H17" s="2" t="s">
        <v>1095</v>
      </c>
      <c r="I17" s="2" t="s">
        <v>1096</v>
      </c>
      <c r="J17" s="2" t="s">
        <v>564</v>
      </c>
      <c r="K17" s="2" t="s">
        <v>1509</v>
      </c>
      <c r="L17" s="23">
        <v>41456</v>
      </c>
      <c r="M17" s="23">
        <v>44742</v>
      </c>
      <c r="N17" s="30">
        <v>67</v>
      </c>
      <c r="O17" s="20"/>
      <c r="P17" s="20">
        <f t="shared" si="0"/>
        <v>67</v>
      </c>
      <c r="Q17" s="53">
        <f>SUMIFS(MasterTable[Estimate of Arrears at end of the current FY 2020/21 (value)],MasterTable[[Project Code and Name ]],PAProjects5[[#This Row],[LINKING_CODE]],MasterTable[Funding Source],"GoU Funded")/10^9</f>
        <v>0</v>
      </c>
      <c r="R17" s="108">
        <f>SUMIFS(MasterTable[Arrears + All Contractual Commitments (value next FY)],MasterTable[[Project Code and Name ]],PAProjects5[[#This Row],[LINKING_CODE]],MasterTable[Funding Source],"GoU Funded")/10^9</f>
        <v>6.41</v>
      </c>
      <c r="S17" s="108">
        <f>SUMIFS(MasterTable[Arrears + All Contractual Commitments (value next FY)],MasterTable[[Project Code and Name ]],PAProjects5[[#This Row],[LINKING_CODE]],MasterTable[Funding Source],"External Financing")/10^9</f>
        <v>0</v>
      </c>
      <c r="T17" s="49">
        <f>PAProjects[[#This Row],[GOU 21/22]]+PAProjects[[#This Row],[DONOR 21/22]]</f>
        <v>6.41</v>
      </c>
      <c r="U17" s="107">
        <f>SUMIFS(MasterTable[FY1 (FY22-23)],MasterTable[[Project Code and Name ]],PAProjects5[[#This Row],[LINKING_CODE]],MasterTable[Funding Source],"GoU Funded")/10^9</f>
        <v>0</v>
      </c>
      <c r="V17" s="52">
        <f>SUMIFS(MasterTable[FY1 (FY22-23)],MasterTable[[Project Code and Name ]],PAProjects5[[#This Row],[LINKING_CODE]],MasterTable[Funding Source],"External Financing")/10^9</f>
        <v>0</v>
      </c>
      <c r="W17" s="49">
        <f>PAProjects[[#This Row],[GOU 22/23]]+PAProjects[[#This Row],[DONOR 22/23]]</f>
        <v>0</v>
      </c>
      <c r="X17" s="52">
        <f>SUMIFS(MasterTable[FY2 (FY23-24)],MasterTable[[Project Code and Name ]],PAProjects5[[#This Row],[LINKING_CODE]],MasterTable[Funding Source],"GoU Funded")/10^9</f>
        <v>0</v>
      </c>
      <c r="Y17" s="52">
        <f>SUMIFS(MasterTable[FY2 (FY23-24)],MasterTable[[Project Code and Name ]],PAProjects5[[#This Row],[LINKING_CODE]],MasterTable[Funding Source],"External Financing")/10^9</f>
        <v>0</v>
      </c>
      <c r="Z17" s="2">
        <f t="shared" si="1"/>
        <v>0</v>
      </c>
      <c r="AA17" s="52">
        <f>SUMIFS(MasterTable[FY3 (FY24-25)],MasterTable[[Project Code and Name ]],PAProjects5[[#This Row],[LINKING_CODE]],MasterTable[Funding Source],"GoU Funded")/10^9</f>
        <v>0</v>
      </c>
      <c r="AB17" s="52">
        <f>SUMIFS(MasterTable[FY3 (FY24-25)],MasterTable[[Project Code and Name ]],PAProjects5[[#This Row],[LINKING_CODE]],MasterTable[Funding Source],"External Financing")/10^9</f>
        <v>0</v>
      </c>
      <c r="AC17" s="49">
        <f>PAProjects[[#This Row],[GOU 24/25]]+PAProjects[[#This Row],[DONOR 24/25]]</f>
        <v>0</v>
      </c>
    </row>
    <row r="18" spans="1:29" ht="15" hidden="1" customHeight="1" x14ac:dyDescent="0.25">
      <c r="A18" s="21" t="s">
        <v>274</v>
      </c>
      <c r="B18" s="2" t="s">
        <v>42</v>
      </c>
      <c r="C18" s="2" t="e">
        <f ca="1">PAProjects5[[#This Row],[LINKING_CODE]]=_xlfn.CONCAT(PAProjects5[[#This Row],[Project Code]]," ",PAProjects5[[#This Row],[Project Name]])</f>
        <v>#NAME?</v>
      </c>
      <c r="D18" s="2" t="str">
        <f>VLOOKUP(PAProjects5[[#This Row],[LINKING_CODE]],MasterTable[[Project Code and Name ]],1,FALSE)</f>
        <v>1221 Opuyo Moroto Interconnection Project</v>
      </c>
      <c r="E18" s="2" t="s">
        <v>513</v>
      </c>
      <c r="F18" s="2" t="s">
        <v>1089</v>
      </c>
      <c r="G18" s="2" t="s">
        <v>66</v>
      </c>
      <c r="H18" s="2" t="s">
        <v>1251</v>
      </c>
      <c r="I18" s="2" t="s">
        <v>1243</v>
      </c>
      <c r="J18" s="2" t="s">
        <v>561</v>
      </c>
      <c r="K18" s="2" t="s">
        <v>1509</v>
      </c>
      <c r="L18" s="23">
        <v>41030</v>
      </c>
      <c r="M18" s="23">
        <v>44742</v>
      </c>
      <c r="N18" s="30">
        <v>24.93</v>
      </c>
      <c r="O18" s="31">
        <v>204.22</v>
      </c>
      <c r="P18" s="20">
        <f t="shared" si="0"/>
        <v>229.15</v>
      </c>
      <c r="Q18" s="53">
        <f>SUMIFS(MasterTable[Estimate of Arrears at end of the current FY 2020/21 (value)],MasterTable[[Project Code and Name ]],PAProjects5[[#This Row],[LINKING_CODE]],MasterTable[Funding Source],"GoU Funded")/10^9</f>
        <v>0</v>
      </c>
      <c r="R18" s="108">
        <f>SUMIFS(MasterTable[Arrears + All Contractual Commitments (value next FY)],MasterTable[[Project Code and Name ]],PAProjects5[[#This Row],[LINKING_CODE]],MasterTable[Funding Source],"GoU Funded")/10^9</f>
        <v>1.5</v>
      </c>
      <c r="S18" s="108">
        <f>SUMIFS(MasterTable[Arrears + All Contractual Commitments (value next FY)],MasterTable[[Project Code and Name ]],PAProjects5[[#This Row],[LINKING_CODE]],MasterTable[Funding Source],"External Financing")/10^9</f>
        <v>0</v>
      </c>
      <c r="T18" s="39">
        <f>PAProjects[[#This Row],[GOU 21/22]]+PAProjects[[#This Row],[DONOR 21/22]]</f>
        <v>1.5</v>
      </c>
      <c r="U18" s="107">
        <f>SUMIFS(MasterTable[FY1 (FY22-23)],MasterTable[[Project Code and Name ]],PAProjects5[[#This Row],[LINKING_CODE]],MasterTable[Funding Source],"GoU Funded")/10^9</f>
        <v>0</v>
      </c>
      <c r="V18" s="52">
        <f>SUMIFS(MasterTable[FY1 (FY22-23)],MasterTable[[Project Code and Name ]],PAProjects5[[#This Row],[LINKING_CODE]],MasterTable[Funding Source],"External Financing")/10^9</f>
        <v>0</v>
      </c>
      <c r="W18" s="49">
        <f>PAProjects[[#This Row],[GOU 22/23]]+PAProjects[[#This Row],[DONOR 22/23]]</f>
        <v>0</v>
      </c>
      <c r="X18" s="52">
        <f>SUMIFS(MasterTable[FY2 (FY23-24)],MasterTable[[Project Code and Name ]],PAProjects5[[#This Row],[LINKING_CODE]],MasterTable[Funding Source],"GoU Funded")/10^9</f>
        <v>0</v>
      </c>
      <c r="Y18" s="52">
        <f>SUMIFS(MasterTable[FY2 (FY23-24)],MasterTable[[Project Code and Name ]],PAProjects5[[#This Row],[LINKING_CODE]],MasterTable[Funding Source],"External Financing")/10^9</f>
        <v>0</v>
      </c>
      <c r="Z18" s="2">
        <f t="shared" si="1"/>
        <v>0</v>
      </c>
      <c r="AA18" s="52">
        <f>SUMIFS(MasterTable[FY3 (FY24-25)],MasterTable[[Project Code and Name ]],PAProjects5[[#This Row],[LINKING_CODE]],MasterTable[Funding Source],"GoU Funded")/10^9</f>
        <v>0</v>
      </c>
      <c r="AB18" s="52">
        <f>SUMIFS(MasterTable[FY3 (FY24-25)],MasterTable[[Project Code and Name ]],PAProjects5[[#This Row],[LINKING_CODE]],MasterTable[Funding Source],"External Financing")/10^9</f>
        <v>0</v>
      </c>
      <c r="AC18" s="49">
        <f>PAProjects[[#This Row],[GOU 24/25]]+PAProjects[[#This Row],[DONOR 24/25]]</f>
        <v>0</v>
      </c>
    </row>
    <row r="19" spans="1:29" ht="15" hidden="1" customHeight="1" x14ac:dyDescent="0.25">
      <c r="A19" s="21" t="s">
        <v>603</v>
      </c>
      <c r="B19" s="2" t="s">
        <v>456</v>
      </c>
      <c r="C19" s="2" t="e">
        <f ca="1">PAProjects5[[#This Row],[LINKING_CODE]]=_xlfn.CONCAT(PAProjects5[[#This Row],[Project Code]]," ",PAProjects5[[#This Row],[Project Name]])</f>
        <v>#NAME?</v>
      </c>
      <c r="D19" s="2" t="str">
        <f>VLOOKUP(PAProjects5[[#This Row],[LINKING_CODE]],MasterTable[[Project Code and Name ]],1,FALSE)</f>
        <v>1241 Development of Uganda Petroleum Institute Kigumba</v>
      </c>
      <c r="E19" s="2" t="s">
        <v>519</v>
      </c>
      <c r="F19" s="2" t="s">
        <v>960</v>
      </c>
      <c r="G19" s="2" t="s">
        <v>961</v>
      </c>
      <c r="H19" s="2" t="s">
        <v>962</v>
      </c>
      <c r="I19" s="2" t="s">
        <v>668</v>
      </c>
      <c r="J19" s="2" t="s">
        <v>669</v>
      </c>
      <c r="K19" s="2" t="s">
        <v>1509</v>
      </c>
      <c r="L19" s="23">
        <v>42186</v>
      </c>
      <c r="M19" s="23">
        <v>44742</v>
      </c>
      <c r="N19" s="24">
        <v>50.194000000000003</v>
      </c>
      <c r="O19" s="20"/>
      <c r="P19" s="20">
        <f t="shared" si="0"/>
        <v>50.194000000000003</v>
      </c>
      <c r="Q19" s="53">
        <f>SUMIFS(MasterTable[Estimate of Arrears at end of the current FY 2020/21 (value)],MasterTable[[Project Code and Name ]],PAProjects5[[#This Row],[LINKING_CODE]],MasterTable[Funding Source],"GoU Funded")/10^9</f>
        <v>4.0599999999999996</v>
      </c>
      <c r="R19" s="108">
        <f>SUMIFS(MasterTable[Arrears + All Contractual Commitments (value next FY)],MasterTable[[Project Code and Name ]],PAProjects5[[#This Row],[LINKING_CODE]],MasterTable[Funding Source],"GoU Funded")/10^9</f>
        <v>14.06</v>
      </c>
      <c r="S19" s="108">
        <f>SUMIFS(MasterTable[Arrears + All Contractual Commitments (value next FY)],MasterTable[[Project Code and Name ]],PAProjects5[[#This Row],[LINKING_CODE]],MasterTable[Funding Source],"External Financing")/10^9</f>
        <v>0</v>
      </c>
      <c r="T19" s="49">
        <f>PAProjects[[#This Row],[GOU 21/22]]+PAProjects[[#This Row],[DONOR 21/22]]</f>
        <v>14.06</v>
      </c>
      <c r="U19" s="107">
        <f>SUMIFS(MasterTable[FY1 (FY22-23)],MasterTable[[Project Code and Name ]],PAProjects5[[#This Row],[LINKING_CODE]],MasterTable[Funding Source],"GoU Funded")/10^9</f>
        <v>0</v>
      </c>
      <c r="V19" s="52">
        <f>SUMIFS(MasterTable[FY1 (FY22-23)],MasterTable[[Project Code and Name ]],PAProjects5[[#This Row],[LINKING_CODE]],MasterTable[Funding Source],"External Financing")/10^9</f>
        <v>0</v>
      </c>
      <c r="W19" s="49">
        <f>PAProjects[[#This Row],[GOU 22/23]]+PAProjects[[#This Row],[DONOR 22/23]]</f>
        <v>0</v>
      </c>
      <c r="X19" s="52">
        <f>SUMIFS(MasterTable[FY2 (FY23-24)],MasterTable[[Project Code and Name ]],PAProjects5[[#This Row],[LINKING_CODE]],MasterTable[Funding Source],"GoU Funded")/10^9</f>
        <v>0</v>
      </c>
      <c r="Y19" s="52">
        <f>SUMIFS(MasterTable[FY2 (FY23-24)],MasterTable[[Project Code and Name ]],PAProjects5[[#This Row],[LINKING_CODE]],MasterTable[Funding Source],"External Financing")/10^9</f>
        <v>0</v>
      </c>
      <c r="Z19" s="2">
        <f t="shared" si="1"/>
        <v>0</v>
      </c>
      <c r="AA19" s="52">
        <f>SUMIFS(MasterTable[FY3 (FY24-25)],MasterTable[[Project Code and Name ]],PAProjects5[[#This Row],[LINKING_CODE]],MasterTable[Funding Source],"GoU Funded")/10^9</f>
        <v>0</v>
      </c>
      <c r="AB19" s="52">
        <f>SUMIFS(MasterTable[FY3 (FY24-25)],MasterTable[[Project Code and Name ]],PAProjects5[[#This Row],[LINKING_CODE]],MasterTable[Funding Source],"External Financing")/10^9</f>
        <v>0</v>
      </c>
      <c r="AC19" s="49">
        <f>PAProjects[[#This Row],[GOU 24/25]]+PAProjects[[#This Row],[DONOR 24/25]]</f>
        <v>0</v>
      </c>
    </row>
    <row r="20" spans="1:29" ht="15" hidden="1" customHeight="1" x14ac:dyDescent="0.25">
      <c r="A20" s="21" t="s">
        <v>598</v>
      </c>
      <c r="B20" s="2" t="s">
        <v>345</v>
      </c>
      <c r="C20" s="2" t="e">
        <f ca="1">PAProjects5[[#This Row],[LINKING_CODE]]=_xlfn.CONCAT(PAProjects5[[#This Row],[Project Code]]," ",PAProjects5[[#This Row],[Project Name]])</f>
        <v>#NAME?</v>
      </c>
      <c r="D20" s="2" t="str">
        <f>VLOOKUP(PAProjects5[[#This Row],[LINKING_CODE]],MasterTable[[Project Code and Name ]],1,FALSE)</f>
        <v>1242 Construction of the JLOS House</v>
      </c>
      <c r="E20" s="2" t="s">
        <v>527</v>
      </c>
      <c r="F20" s="2" t="s">
        <v>929</v>
      </c>
      <c r="G20" s="2" t="s">
        <v>957</v>
      </c>
      <c r="H20" s="2" t="s">
        <v>953</v>
      </c>
      <c r="I20" s="2" t="s">
        <v>825</v>
      </c>
      <c r="J20" s="2" t="s">
        <v>958</v>
      </c>
      <c r="K20" s="2" t="s">
        <v>1509</v>
      </c>
      <c r="L20" s="23">
        <v>41091</v>
      </c>
      <c r="M20" s="23">
        <v>44742</v>
      </c>
      <c r="N20" s="24">
        <v>420</v>
      </c>
      <c r="O20" s="20"/>
      <c r="P20" s="20">
        <f t="shared" si="0"/>
        <v>420</v>
      </c>
      <c r="Q20" s="53">
        <f>SUMIFS(MasterTable[Estimate of Arrears at end of the current FY 2020/21 (value)],MasterTable[[Project Code and Name ]],PAProjects5[[#This Row],[LINKING_CODE]],MasterTable[Funding Source],"GoU Funded")/10^9</f>
        <v>0</v>
      </c>
      <c r="R20" s="108">
        <f>SUMIFS(MasterTable[Arrears + All Contractual Commitments (value next FY)],MasterTable[[Project Code and Name ]],PAProjects5[[#This Row],[LINKING_CODE]],MasterTable[Funding Source],"GoU Funded")/10^9</f>
        <v>64.8</v>
      </c>
      <c r="S20" s="108">
        <f>SUMIFS(MasterTable[Arrears + All Contractual Commitments (value next FY)],MasterTable[[Project Code and Name ]],PAProjects5[[#This Row],[LINKING_CODE]],MasterTable[Funding Source],"External Financing")/10^9</f>
        <v>0</v>
      </c>
      <c r="T20" s="49">
        <f>PAProjects[[#This Row],[GOU 21/22]]+PAProjects[[#This Row],[DONOR 21/22]]</f>
        <v>64.8</v>
      </c>
      <c r="U20" s="107">
        <f>SUMIFS(MasterTable[FY1 (FY22-23)],MasterTable[[Project Code and Name ]],PAProjects5[[#This Row],[LINKING_CODE]],MasterTable[Funding Source],"GoU Funded")/10^9</f>
        <v>0</v>
      </c>
      <c r="V20" s="52">
        <f>SUMIFS(MasterTable[FY1 (FY22-23)],MasterTable[[Project Code and Name ]],PAProjects5[[#This Row],[LINKING_CODE]],MasterTable[Funding Source],"External Financing")/10^9</f>
        <v>0</v>
      </c>
      <c r="W20" s="49">
        <f>PAProjects[[#This Row],[GOU 22/23]]+PAProjects[[#This Row],[DONOR 22/23]]</f>
        <v>0</v>
      </c>
      <c r="X20" s="52">
        <f>SUMIFS(MasterTable[FY2 (FY23-24)],MasterTable[[Project Code and Name ]],PAProjects5[[#This Row],[LINKING_CODE]],MasterTable[Funding Source],"GoU Funded")/10^9</f>
        <v>0</v>
      </c>
      <c r="Y20" s="52">
        <f>SUMIFS(MasterTable[FY2 (FY23-24)],MasterTable[[Project Code and Name ]],PAProjects5[[#This Row],[LINKING_CODE]],MasterTable[Funding Source],"External Financing")/10^9</f>
        <v>0</v>
      </c>
      <c r="Z20" s="2"/>
      <c r="AA20" s="52">
        <f>SUMIFS(MasterTable[FY3 (FY24-25)],MasterTable[[Project Code and Name ]],PAProjects5[[#This Row],[LINKING_CODE]],MasterTable[Funding Source],"GoU Funded")/10^9</f>
        <v>0</v>
      </c>
      <c r="AB20" s="52">
        <f>SUMIFS(MasterTable[FY3 (FY24-25)],MasterTable[[Project Code and Name ]],PAProjects5[[#This Row],[LINKING_CODE]],MasterTable[Funding Source],"External Financing")/10^9</f>
        <v>0</v>
      </c>
      <c r="AC20" s="49">
        <f>PAProjects[[#This Row],[GOU 24/25]]+PAProjects[[#This Row],[DONOR 24/25]]</f>
        <v>0</v>
      </c>
    </row>
    <row r="21" spans="1:29" ht="15" hidden="1" customHeight="1" x14ac:dyDescent="0.25">
      <c r="A21" s="21" t="s">
        <v>632</v>
      </c>
      <c r="B21" s="2" t="s">
        <v>88</v>
      </c>
      <c r="C21" s="2" t="e">
        <f ca="1">PAProjects5[[#This Row],[LINKING_CODE]]=_xlfn.CONCAT(PAProjects5[[#This Row],[Project Code]]," ",PAProjects5[[#This Row],[Project Name]])</f>
        <v>#NAME?</v>
      </c>
      <c r="D21" s="2" t="str">
        <f>VLOOKUP(PAProjects5[[#This Row],[LINKING_CODE]],MasterTable[[Project Code and Name ]],1,FALSE)</f>
        <v>1243 Rehabilitation and Construction of General Hospitals</v>
      </c>
      <c r="E21" s="2" t="s">
        <v>520</v>
      </c>
      <c r="F21" s="2" t="s">
        <v>975</v>
      </c>
      <c r="G21" s="2" t="s">
        <v>97</v>
      </c>
      <c r="H21" s="2" t="s">
        <v>962</v>
      </c>
      <c r="I21" s="2" t="s">
        <v>699</v>
      </c>
      <c r="J21" s="2" t="s">
        <v>700</v>
      </c>
      <c r="K21" s="2" t="s">
        <v>1509</v>
      </c>
      <c r="L21" s="23">
        <v>41091</v>
      </c>
      <c r="M21" s="23">
        <v>44742</v>
      </c>
      <c r="N21" s="24">
        <v>112</v>
      </c>
      <c r="O21" s="20"/>
      <c r="P21" s="20">
        <f t="shared" si="0"/>
        <v>112</v>
      </c>
      <c r="Q21" s="53">
        <f>SUMIFS(MasterTable[Estimate of Arrears at end of the current FY 2020/21 (value)],MasterTable[[Project Code and Name ]],PAProjects5[[#This Row],[LINKING_CODE]],MasterTable[Funding Source],"GoU Funded")/10^9</f>
        <v>0</v>
      </c>
      <c r="R21" s="108">
        <f>SUMIFS(MasterTable[Arrears + All Contractual Commitments (value next FY)],MasterTable[[Project Code and Name ]],PAProjects5[[#This Row],[LINKING_CODE]],MasterTable[Funding Source],"GoU Funded")/10^9</f>
        <v>3.84</v>
      </c>
      <c r="S21" s="108">
        <f>SUMIFS(MasterTable[Arrears + All Contractual Commitments (value next FY)],MasterTable[[Project Code and Name ]],PAProjects5[[#This Row],[LINKING_CODE]],MasterTable[Funding Source],"External Financing")/10^9</f>
        <v>9.2899999999999991</v>
      </c>
      <c r="T21" s="49">
        <f>PAProjects[[#This Row],[GOU 21/22]]+PAProjects[[#This Row],[DONOR 21/22]]</f>
        <v>13.129999999999999</v>
      </c>
      <c r="U21" s="107">
        <f>SUMIFS(MasterTable[FY1 (FY22-23)],MasterTable[[Project Code and Name ]],PAProjects5[[#This Row],[LINKING_CODE]],MasterTable[Funding Source],"GoU Funded")/10^9</f>
        <v>0</v>
      </c>
      <c r="V21" s="52">
        <f>SUMIFS(MasterTable[FY1 (FY22-23)],MasterTable[[Project Code and Name ]],PAProjects5[[#This Row],[LINKING_CODE]],MasterTable[Funding Source],"External Financing")/10^9</f>
        <v>0</v>
      </c>
      <c r="W21" s="49">
        <f>PAProjects[[#This Row],[GOU 22/23]]+PAProjects[[#This Row],[DONOR 22/23]]</f>
        <v>0</v>
      </c>
      <c r="X21" s="52">
        <f>SUMIFS(MasterTable[FY2 (FY23-24)],MasterTable[[Project Code and Name ]],PAProjects5[[#This Row],[LINKING_CODE]],MasterTable[Funding Source],"GoU Funded")/10^9</f>
        <v>0</v>
      </c>
      <c r="Y21" s="52">
        <f>SUMIFS(MasterTable[FY2 (FY23-24)],MasterTable[[Project Code and Name ]],PAProjects5[[#This Row],[LINKING_CODE]],MasterTable[Funding Source],"External Financing")/10^9</f>
        <v>0</v>
      </c>
      <c r="Z21" s="2">
        <f t="shared" ref="Z21:Z50" si="2">X21+Y21</f>
        <v>0</v>
      </c>
      <c r="AA21" s="52">
        <f>SUMIFS(MasterTable[FY3 (FY24-25)],MasterTable[[Project Code and Name ]],PAProjects5[[#This Row],[LINKING_CODE]],MasterTable[Funding Source],"GoU Funded")/10^9</f>
        <v>0</v>
      </c>
      <c r="AB21" s="52">
        <f>SUMIFS(MasterTable[FY3 (FY24-25)],MasterTable[[Project Code and Name ]],PAProjects5[[#This Row],[LINKING_CODE]],MasterTable[Funding Source],"External Financing")/10^9</f>
        <v>0</v>
      </c>
      <c r="AC21" s="49">
        <f>PAProjects[[#This Row],[GOU 24/25]]+PAProjects[[#This Row],[DONOR 24/25]]</f>
        <v>0</v>
      </c>
    </row>
    <row r="22" spans="1:29" ht="15" hidden="1" customHeight="1" x14ac:dyDescent="0.25">
      <c r="A22" s="21" t="s">
        <v>275</v>
      </c>
      <c r="B22" s="2" t="s">
        <v>43</v>
      </c>
      <c r="C22" s="2" t="e">
        <f ca="1">PAProjects5[[#This Row],[LINKING_CODE]]=_xlfn.CONCAT(PAProjects5[[#This Row],[Project Code]]," ",PAProjects5[[#This Row],[Project Name]])</f>
        <v>#NAME?</v>
      </c>
      <c r="D22" s="2" t="str">
        <f>VLOOKUP(PAProjects5[[#This Row],[LINKING_CODE]],MasterTable[[Project Code and Name ]],1,FALSE)</f>
        <v>1259 Kampala-Entebbe Expansion Project</v>
      </c>
      <c r="E22" s="2" t="s">
        <v>513</v>
      </c>
      <c r="F22" s="2" t="s">
        <v>1089</v>
      </c>
      <c r="G22" s="2" t="s">
        <v>66</v>
      </c>
      <c r="H22" s="2" t="s">
        <v>1251</v>
      </c>
      <c r="I22" s="2" t="s">
        <v>1244</v>
      </c>
      <c r="J22" s="2" t="s">
        <v>1245</v>
      </c>
      <c r="K22" s="2" t="s">
        <v>1509</v>
      </c>
      <c r="L22" s="23">
        <v>41456</v>
      </c>
      <c r="M22" s="23">
        <v>44742</v>
      </c>
      <c r="N22" s="30">
        <v>88.7</v>
      </c>
      <c r="O22" s="31">
        <v>70.97</v>
      </c>
      <c r="P22" s="20">
        <f t="shared" si="0"/>
        <v>159.67000000000002</v>
      </c>
      <c r="Q22" s="53">
        <f>SUMIFS(MasterTable[Estimate of Arrears at end of the current FY 2020/21 (value)],MasterTable[[Project Code and Name ]],PAProjects5[[#This Row],[LINKING_CODE]],MasterTable[Funding Source],"GoU Funded")/10^9</f>
        <v>0</v>
      </c>
      <c r="R22" s="108">
        <f>SUMIFS(MasterTable[Arrears + All Contractual Commitments (value next FY)],MasterTable[[Project Code and Name ]],PAProjects5[[#This Row],[LINKING_CODE]],MasterTable[Funding Source],"GoU Funded")/10^9</f>
        <v>6.6</v>
      </c>
      <c r="S22" s="108">
        <f>SUMIFS(MasterTable[Arrears + All Contractual Commitments (value next FY)],MasterTable[[Project Code and Name ]],PAProjects5[[#This Row],[LINKING_CODE]],MasterTable[Funding Source],"External Financing")/10^9</f>
        <v>7.69</v>
      </c>
      <c r="T22" s="39">
        <f>PAProjects[[#This Row],[GOU 21/22]]+PAProjects[[#This Row],[DONOR 21/22]]</f>
        <v>14.29</v>
      </c>
      <c r="U22" s="107">
        <f>SUMIFS(MasterTable[FY1 (FY22-23)],MasterTable[[Project Code and Name ]],PAProjects5[[#This Row],[LINKING_CODE]],MasterTable[Funding Source],"GoU Funded")/10^9</f>
        <v>0</v>
      </c>
      <c r="V22" s="52">
        <f>SUMIFS(MasterTable[FY1 (FY22-23)],MasterTable[[Project Code and Name ]],PAProjects5[[#This Row],[LINKING_CODE]],MasterTable[Funding Source],"External Financing")/10^9</f>
        <v>0</v>
      </c>
      <c r="W22" s="49">
        <f>PAProjects[[#This Row],[GOU 22/23]]+PAProjects[[#This Row],[DONOR 22/23]]</f>
        <v>0</v>
      </c>
      <c r="X22" s="52">
        <f>SUMIFS(MasterTable[FY2 (FY23-24)],MasterTable[[Project Code and Name ]],PAProjects5[[#This Row],[LINKING_CODE]],MasterTable[Funding Source],"GoU Funded")/10^9</f>
        <v>0</v>
      </c>
      <c r="Y22" s="52">
        <f>SUMIFS(MasterTable[FY2 (FY23-24)],MasterTable[[Project Code and Name ]],PAProjects5[[#This Row],[LINKING_CODE]],MasterTable[Funding Source],"External Financing")/10^9</f>
        <v>0</v>
      </c>
      <c r="Z22" s="2">
        <f t="shared" si="2"/>
        <v>0</v>
      </c>
      <c r="AA22" s="52">
        <f>SUMIFS(MasterTable[FY3 (FY24-25)],MasterTable[[Project Code and Name ]],PAProjects5[[#This Row],[LINKING_CODE]],MasterTable[Funding Source],"GoU Funded")/10^9</f>
        <v>0</v>
      </c>
      <c r="AB22" s="52">
        <f>SUMIFS(MasterTable[FY3 (FY24-25)],MasterTable[[Project Code and Name ]],PAProjects5[[#This Row],[LINKING_CODE]],MasterTable[Funding Source],"External Financing")/10^9</f>
        <v>0</v>
      </c>
      <c r="AC22" s="49">
        <f>PAProjects[[#This Row],[GOU 24/25]]+PAProjects[[#This Row],[DONOR 24/25]]</f>
        <v>0</v>
      </c>
    </row>
    <row r="23" spans="1:29" ht="15" hidden="1" customHeight="1" x14ac:dyDescent="0.25">
      <c r="A23" s="21" t="s">
        <v>288</v>
      </c>
      <c r="B23" s="2" t="s">
        <v>474</v>
      </c>
      <c r="C23" s="2" t="e">
        <f ca="1">PAProjects5[[#This Row],[LINKING_CODE]]=_xlfn.CONCAT(PAProjects5[[#This Row],[Project Code]]," ",PAProjects5[[#This Row],[Project Name]])</f>
        <v>#NAME?</v>
      </c>
      <c r="D23" s="2" t="str">
        <f>VLOOKUP(PAProjects5[[#This Row],[LINKING_CODE]],MasterTable[[Project Code and Name ]],1,FALSE)</f>
        <v>1262 Rural Electrification Project</v>
      </c>
      <c r="E23" s="2" t="s">
        <v>513</v>
      </c>
      <c r="F23" s="2" t="s">
        <v>1089</v>
      </c>
      <c r="G23" s="2" t="s">
        <v>123</v>
      </c>
      <c r="H23" s="2" t="s">
        <v>1251</v>
      </c>
      <c r="I23" s="2" t="s">
        <v>1261</v>
      </c>
      <c r="J23" s="2" t="s">
        <v>562</v>
      </c>
      <c r="K23" s="2" t="s">
        <v>1509</v>
      </c>
      <c r="L23" s="23">
        <v>41456</v>
      </c>
      <c r="M23" s="23">
        <v>45107</v>
      </c>
      <c r="N23" s="30">
        <v>156.39500000000001</v>
      </c>
      <c r="O23" s="20"/>
      <c r="P23" s="20">
        <f t="shared" si="0"/>
        <v>156.39500000000001</v>
      </c>
      <c r="Q23" s="53">
        <f>SUMIFS(MasterTable[Estimate of Arrears at end of the current FY 2020/21 (value)],MasterTable[[Project Code and Name ]],PAProjects5[[#This Row],[LINKING_CODE]],MasterTable[Funding Source],"GoU Funded")/10^9</f>
        <v>0</v>
      </c>
      <c r="R23" s="108">
        <f>SUMIFS(MasterTable[Arrears + All Contractual Commitments (value next FY)],MasterTable[[Project Code and Name ]],PAProjects5[[#This Row],[LINKING_CODE]],MasterTable[Funding Source],"GoU Funded")/10^9</f>
        <v>221.14</v>
      </c>
      <c r="S23" s="108">
        <f>SUMIFS(MasterTable[Arrears + All Contractual Commitments (value next FY)],MasterTable[[Project Code and Name ]],PAProjects5[[#This Row],[LINKING_CODE]],MasterTable[Funding Source],"External Financing")/10^9</f>
        <v>18.5</v>
      </c>
      <c r="T23" s="49">
        <f>PAProjects[[#This Row],[GOU 21/22]]+PAProjects[[#This Row],[DONOR 21/22]]</f>
        <v>239.64</v>
      </c>
      <c r="U23" s="107">
        <f>SUMIFS(MasterTable[FY1 (FY22-23)],MasterTable[[Project Code and Name ]],PAProjects5[[#This Row],[LINKING_CODE]],MasterTable[Funding Source],"GoU Funded")/10^9</f>
        <v>128.13999999999999</v>
      </c>
      <c r="V23" s="52">
        <f>SUMIFS(MasterTable[FY1 (FY22-23)],MasterTable[[Project Code and Name ]],PAProjects5[[#This Row],[LINKING_CODE]],MasterTable[Funding Source],"External Financing")/10^9</f>
        <v>3.7</v>
      </c>
      <c r="W23" s="49">
        <f>PAProjects[[#This Row],[GOU 22/23]]+PAProjects[[#This Row],[DONOR 22/23]]</f>
        <v>131.83999999999997</v>
      </c>
      <c r="X23" s="52">
        <f>SUMIFS(MasterTable[FY2 (FY23-24)],MasterTable[[Project Code and Name ]],PAProjects5[[#This Row],[LINKING_CODE]],MasterTable[Funding Source],"GoU Funded")/10^9</f>
        <v>0</v>
      </c>
      <c r="Y23" s="52">
        <f>SUMIFS(MasterTable[FY2 (FY23-24)],MasterTable[[Project Code and Name ]],PAProjects5[[#This Row],[LINKING_CODE]],MasterTable[Funding Source],"External Financing")/10^9</f>
        <v>0</v>
      </c>
      <c r="Z23" s="2">
        <f t="shared" si="2"/>
        <v>0</v>
      </c>
      <c r="AA23" s="52">
        <f>SUMIFS(MasterTable[FY3 (FY24-25)],MasterTable[[Project Code and Name ]],PAProjects5[[#This Row],[LINKING_CODE]],MasterTable[Funding Source],"GoU Funded")/10^9</f>
        <v>0</v>
      </c>
      <c r="AB23" s="52">
        <f>SUMIFS(MasterTable[FY3 (FY24-25)],MasterTable[[Project Code and Name ]],PAProjects5[[#This Row],[LINKING_CODE]],MasterTable[Funding Source],"External Financing")/10^9</f>
        <v>0</v>
      </c>
      <c r="AC23" s="49">
        <f>PAProjects[[#This Row],[GOU 24/25]]+PAProjects[[#This Row],[DONOR 24/25]]</f>
        <v>0</v>
      </c>
    </row>
    <row r="24" spans="1:29" ht="15" hidden="1" customHeight="1" x14ac:dyDescent="0.25">
      <c r="A24" s="21" t="s">
        <v>100</v>
      </c>
      <c r="B24" s="2" t="s">
        <v>390</v>
      </c>
      <c r="C24" s="2" t="e">
        <f ca="1">PAProjects5[[#This Row],[LINKING_CODE]]=_xlfn.CONCAT(PAProjects5[[#This Row],[Project Code]]," ",PAProjects5[[#This Row],[Project Name]])</f>
        <v>#NAME?</v>
      </c>
      <c r="D24" s="2" t="str">
        <f>VLOOKUP(PAProjects5[[#This Row],[LINKING_CODE]],MasterTable[[Project Code and Name ]],1,FALSE)</f>
        <v>1274 Musita-Lumino-Busia/Majanji Road</v>
      </c>
      <c r="E24" s="2" t="s">
        <v>515</v>
      </c>
      <c r="F24" s="2" t="s">
        <v>944</v>
      </c>
      <c r="G24" s="2" t="s">
        <v>113</v>
      </c>
      <c r="H24" s="2" t="s">
        <v>1007</v>
      </c>
      <c r="I24" s="2" t="s">
        <v>1039</v>
      </c>
      <c r="J24" s="2" t="s">
        <v>594</v>
      </c>
      <c r="K24" s="2" t="s">
        <v>1509</v>
      </c>
      <c r="L24" s="26">
        <v>42917</v>
      </c>
      <c r="M24" s="23">
        <v>44742</v>
      </c>
      <c r="N24" s="24">
        <v>350.142</v>
      </c>
      <c r="O24" s="20"/>
      <c r="P24" s="20">
        <f t="shared" si="0"/>
        <v>350.142</v>
      </c>
      <c r="Q24" s="53">
        <f>SUMIFS(MasterTable[Estimate of Arrears at end of the current FY 2020/21 (value)],MasterTable[[Project Code and Name ]],PAProjects5[[#This Row],[LINKING_CODE]],MasterTable[Funding Source],"GoU Funded")/10^9</f>
        <v>22.07616664</v>
      </c>
      <c r="R24" s="108">
        <f>SUMIFS(MasterTable[Arrears + All Contractual Commitments (value next FY)],MasterTable[[Project Code and Name ]],PAProjects5[[#This Row],[LINKING_CODE]],MasterTable[Funding Source],"GoU Funded")/10^9</f>
        <v>40.676166639999998</v>
      </c>
      <c r="S24" s="108">
        <f>SUMIFS(MasterTable[Arrears + All Contractual Commitments (value next FY)],MasterTable[[Project Code and Name ]],PAProjects5[[#This Row],[LINKING_CODE]],MasterTable[Funding Source],"External Financing")/10^9</f>
        <v>0</v>
      </c>
      <c r="T24" s="49">
        <f>PAProjects[[#This Row],[GOU 21/22]]+PAProjects[[#This Row],[DONOR 21/22]]</f>
        <v>40.676166639999998</v>
      </c>
      <c r="U24" s="107">
        <f>SUMIFS(MasterTable[FY1 (FY22-23)],MasterTable[[Project Code and Name ]],PAProjects5[[#This Row],[LINKING_CODE]],MasterTable[Funding Source],"GoU Funded")/10^9</f>
        <v>27.9</v>
      </c>
      <c r="V24" s="52">
        <f>SUMIFS(MasterTable[FY1 (FY22-23)],MasterTable[[Project Code and Name ]],PAProjects5[[#This Row],[LINKING_CODE]],MasterTable[Funding Source],"External Financing")/10^9</f>
        <v>0</v>
      </c>
      <c r="W24" s="49">
        <f>PAProjects[[#This Row],[GOU 22/23]]+PAProjects[[#This Row],[DONOR 22/23]]</f>
        <v>27.9</v>
      </c>
      <c r="X24" s="52">
        <f>SUMIFS(MasterTable[FY2 (FY23-24)],MasterTable[[Project Code and Name ]],PAProjects5[[#This Row],[LINKING_CODE]],MasterTable[Funding Source],"GoU Funded")/10^9</f>
        <v>0</v>
      </c>
      <c r="Y24" s="52">
        <f>SUMIFS(MasterTable[FY2 (FY23-24)],MasterTable[[Project Code and Name ]],PAProjects5[[#This Row],[LINKING_CODE]],MasterTable[Funding Source],"External Financing")/10^9</f>
        <v>0</v>
      </c>
      <c r="Z24" s="2">
        <f t="shared" si="2"/>
        <v>0</v>
      </c>
      <c r="AA24" s="52">
        <f>SUMIFS(MasterTable[FY3 (FY24-25)],MasterTable[[Project Code and Name ]],PAProjects5[[#This Row],[LINKING_CODE]],MasterTable[Funding Source],"GoU Funded")/10^9</f>
        <v>0</v>
      </c>
      <c r="AB24" s="52">
        <f>SUMIFS(MasterTable[FY3 (FY24-25)],MasterTable[[Project Code and Name ]],PAProjects5[[#This Row],[LINKING_CODE]],MasterTable[Funding Source],"External Financing")/10^9</f>
        <v>0</v>
      </c>
      <c r="AC24" s="49">
        <f>PAProjects[[#This Row],[GOU 24/25]]+PAProjects[[#This Row],[DONOR 24/25]]</f>
        <v>0</v>
      </c>
    </row>
    <row r="25" spans="1:29" ht="15" hidden="1" customHeight="1" x14ac:dyDescent="0.25">
      <c r="A25" s="21" t="s">
        <v>101</v>
      </c>
      <c r="B25" s="2" t="s">
        <v>392</v>
      </c>
      <c r="C25" s="2" t="e">
        <f ca="1">PAProjects5[[#This Row],[LINKING_CODE]]=_xlfn.CONCAT(PAProjects5[[#This Row],[Project Code]]," ",PAProjects5[[#This Row],[Project Name]])</f>
        <v>#NAME?</v>
      </c>
      <c r="D25" s="2" t="str">
        <f>VLOOKUP(PAProjects5[[#This Row],[LINKING_CODE]],MasterTable[[Project Code and Name ]],1,FALSE)</f>
        <v>1275 Olwiyo-Gulu-Kitgum Road</v>
      </c>
      <c r="E25" s="2" t="s">
        <v>515</v>
      </c>
      <c r="F25" s="2" t="s">
        <v>944</v>
      </c>
      <c r="G25" s="2" t="s">
        <v>113</v>
      </c>
      <c r="H25" s="2" t="s">
        <v>1007</v>
      </c>
      <c r="I25" s="2" t="s">
        <v>1040</v>
      </c>
      <c r="J25" s="2" t="s">
        <v>1041</v>
      </c>
      <c r="K25" s="2" t="s">
        <v>1509</v>
      </c>
      <c r="L25" s="26">
        <v>41729</v>
      </c>
      <c r="M25" s="23">
        <v>44742</v>
      </c>
      <c r="N25" s="24">
        <v>587.60900000000004</v>
      </c>
      <c r="O25" s="20"/>
      <c r="P25" s="20">
        <f t="shared" si="0"/>
        <v>587.60900000000004</v>
      </c>
      <c r="Q25" s="53">
        <f>SUMIFS(MasterTable[Estimate of Arrears at end of the current FY 2020/21 (value)],MasterTable[[Project Code and Name ]],PAProjects5[[#This Row],[LINKING_CODE]],MasterTable[Funding Source],"GoU Funded")/10^9</f>
        <v>10.84957942</v>
      </c>
      <c r="R25" s="108">
        <f>SUMIFS(MasterTable[Arrears + All Contractual Commitments (value next FY)],MasterTable[[Project Code and Name ]],PAProjects5[[#This Row],[LINKING_CODE]],MasterTable[Funding Source],"GoU Funded")/10^9</f>
        <v>54.473733328999998</v>
      </c>
      <c r="S25" s="108">
        <f>SUMIFS(MasterTable[Arrears + All Contractual Commitments (value next FY)],MasterTable[[Project Code and Name ]],PAProjects5[[#This Row],[LINKING_CODE]],MasterTable[Funding Source],"External Financing")/10^9</f>
        <v>0</v>
      </c>
      <c r="T25" s="49">
        <f>PAProjects[[#This Row],[GOU 21/22]]+PAProjects[[#This Row],[DONOR 21/22]]</f>
        <v>54.473733328999998</v>
      </c>
      <c r="U25" s="107">
        <f>SUMIFS(MasterTable[FY1 (FY22-23)],MasterTable[[Project Code and Name ]],PAProjects5[[#This Row],[LINKING_CODE]],MasterTable[Funding Source],"GoU Funded")/10^9</f>
        <v>0</v>
      </c>
      <c r="V25" s="52">
        <f>SUMIFS(MasterTable[FY1 (FY22-23)],MasterTable[[Project Code and Name ]],PAProjects5[[#This Row],[LINKING_CODE]],MasterTable[Funding Source],"External Financing")/10^9</f>
        <v>0</v>
      </c>
      <c r="W25" s="49">
        <f>PAProjects[[#This Row],[GOU 22/23]]+PAProjects[[#This Row],[DONOR 22/23]]</f>
        <v>0</v>
      </c>
      <c r="X25" s="52">
        <f>SUMIFS(MasterTable[FY2 (FY23-24)],MasterTable[[Project Code and Name ]],PAProjects5[[#This Row],[LINKING_CODE]],MasterTable[Funding Source],"GoU Funded")/10^9</f>
        <v>0</v>
      </c>
      <c r="Y25" s="52">
        <f>SUMIFS(MasterTable[FY2 (FY23-24)],MasterTable[[Project Code and Name ]],PAProjects5[[#This Row],[LINKING_CODE]],MasterTable[Funding Source],"External Financing")/10^9</f>
        <v>0</v>
      </c>
      <c r="Z25" s="2">
        <f t="shared" si="2"/>
        <v>0</v>
      </c>
      <c r="AA25" s="52">
        <f>SUMIFS(MasterTable[FY3 (FY24-25)],MasterTable[[Project Code and Name ]],PAProjects5[[#This Row],[LINKING_CODE]],MasterTable[Funding Source],"GoU Funded")/10^9</f>
        <v>0</v>
      </c>
      <c r="AB25" s="52">
        <f>SUMIFS(MasterTable[FY3 (FY24-25)],MasterTable[[Project Code and Name ]],PAProjects5[[#This Row],[LINKING_CODE]],MasterTable[Funding Source],"External Financing")/10^9</f>
        <v>0</v>
      </c>
      <c r="AC25" s="49">
        <f>PAProjects[[#This Row],[GOU 24/25]]+PAProjects[[#This Row],[DONOR 24/25]]</f>
        <v>0</v>
      </c>
    </row>
    <row r="26" spans="1:29" ht="15" hidden="1" customHeight="1" x14ac:dyDescent="0.25">
      <c r="A26" s="21" t="s">
        <v>102</v>
      </c>
      <c r="B26" s="2" t="s">
        <v>393</v>
      </c>
      <c r="C26" s="2" t="e">
        <f ca="1">PAProjects5[[#This Row],[LINKING_CODE]]=_xlfn.CONCAT(PAProjects5[[#This Row],[Project Code]]," ",PAProjects5[[#This Row],[Project Name]])</f>
        <v>#NAME?</v>
      </c>
      <c r="D26" s="2" t="str">
        <f>VLOOKUP(PAProjects5[[#This Row],[LINKING_CODE]],MasterTable[[Project Code and Name ]],1,FALSE)</f>
        <v>1276 Mubende-Kakumiro-Kagadi Road</v>
      </c>
      <c r="E26" s="2" t="s">
        <v>515</v>
      </c>
      <c r="F26" s="2" t="s">
        <v>944</v>
      </c>
      <c r="G26" s="2" t="s">
        <v>113</v>
      </c>
      <c r="H26" s="2" t="s">
        <v>1007</v>
      </c>
      <c r="I26" s="2" t="s">
        <v>1042</v>
      </c>
      <c r="J26" s="2" t="s">
        <v>1043</v>
      </c>
      <c r="K26" s="2" t="s">
        <v>1509</v>
      </c>
      <c r="L26" s="26">
        <v>41729</v>
      </c>
      <c r="M26" s="23">
        <v>44742</v>
      </c>
      <c r="N26" s="24">
        <v>486.06900000000002</v>
      </c>
      <c r="O26" s="20"/>
      <c r="P26" s="20">
        <f t="shared" si="0"/>
        <v>486.06900000000002</v>
      </c>
      <c r="Q26" s="53">
        <f>SUMIFS(MasterTable[Estimate of Arrears at end of the current FY 2020/21 (value)],MasterTable[[Project Code and Name ]],PAProjects5[[#This Row],[LINKING_CODE]],MasterTable[Funding Source],"GoU Funded")/10^9</f>
        <v>41.501567440000002</v>
      </c>
      <c r="R26" s="108">
        <f>SUMIFS(MasterTable[Arrears + All Contractual Commitments (value next FY)],MasterTable[[Project Code and Name ]],PAProjects5[[#This Row],[LINKING_CODE]],MasterTable[Funding Source],"GoU Funded")/10^9</f>
        <v>43.933567439999997</v>
      </c>
      <c r="S26" s="108">
        <f>SUMIFS(MasterTable[Arrears + All Contractual Commitments (value next FY)],MasterTable[[Project Code and Name ]],PAProjects5[[#This Row],[LINKING_CODE]],MasterTable[Funding Source],"External Financing")/10^9</f>
        <v>0</v>
      </c>
      <c r="T26" s="49">
        <f>PAProjects[[#This Row],[GOU 21/22]]+PAProjects[[#This Row],[DONOR 21/22]]</f>
        <v>43.933567439999997</v>
      </c>
      <c r="U26" s="107">
        <f>SUMIFS(MasterTable[FY1 (FY22-23)],MasterTable[[Project Code and Name ]],PAProjects5[[#This Row],[LINKING_CODE]],MasterTable[Funding Source],"GoU Funded")/10^9</f>
        <v>0</v>
      </c>
      <c r="V26" s="52">
        <f>SUMIFS(MasterTable[FY1 (FY22-23)],MasterTable[[Project Code and Name ]],PAProjects5[[#This Row],[LINKING_CODE]],MasterTable[Funding Source],"External Financing")/10^9</f>
        <v>0</v>
      </c>
      <c r="W26" s="49">
        <f>PAProjects[[#This Row],[GOU 22/23]]+PAProjects[[#This Row],[DONOR 22/23]]</f>
        <v>0</v>
      </c>
      <c r="X26" s="52">
        <f>SUMIFS(MasterTable[FY2 (FY23-24)],MasterTable[[Project Code and Name ]],PAProjects5[[#This Row],[LINKING_CODE]],MasterTable[Funding Source],"GoU Funded")/10^9</f>
        <v>0</v>
      </c>
      <c r="Y26" s="52">
        <f>SUMIFS(MasterTable[FY2 (FY23-24)],MasterTable[[Project Code and Name ]],PAProjects5[[#This Row],[LINKING_CODE]],MasterTable[Funding Source],"External Financing")/10^9</f>
        <v>0</v>
      </c>
      <c r="Z26" s="2">
        <f t="shared" si="2"/>
        <v>0</v>
      </c>
      <c r="AA26" s="52">
        <f>SUMIFS(MasterTable[FY3 (FY24-25)],MasterTable[[Project Code and Name ]],PAProjects5[[#This Row],[LINKING_CODE]],MasterTable[Funding Source],"GoU Funded")/10^9</f>
        <v>0</v>
      </c>
      <c r="AB26" s="52">
        <f>SUMIFS(MasterTable[FY3 (FY24-25)],MasterTable[[Project Code and Name ]],PAProjects5[[#This Row],[LINKING_CODE]],MasterTable[Funding Source],"External Financing")/10^9</f>
        <v>0</v>
      </c>
      <c r="AC26" s="49">
        <f>PAProjects[[#This Row],[GOU 24/25]]+PAProjects[[#This Row],[DONOR 24/25]]</f>
        <v>0</v>
      </c>
    </row>
    <row r="27" spans="1:29" ht="15" hidden="1" customHeight="1" x14ac:dyDescent="0.25">
      <c r="A27" s="21" t="s">
        <v>103</v>
      </c>
      <c r="B27" s="2" t="s">
        <v>394</v>
      </c>
      <c r="C27" s="2" t="e">
        <f ca="1">PAProjects5[[#This Row],[LINKING_CODE]]=_xlfn.CONCAT(PAProjects5[[#This Row],[Project Code]]," ",PAProjects5[[#This Row],[Project Name]])</f>
        <v>#NAME?</v>
      </c>
      <c r="D27" s="2" t="str">
        <f>VLOOKUP(PAProjects5[[#This Row],[LINKING_CODE]],MasterTable[[Project Code and Name ]],1,FALSE)</f>
        <v>1277 Kampala Northern Bypass Phase 2</v>
      </c>
      <c r="E27" s="2" t="s">
        <v>515</v>
      </c>
      <c r="F27" s="2" t="s">
        <v>944</v>
      </c>
      <c r="G27" s="2" t="s">
        <v>113</v>
      </c>
      <c r="H27" s="2" t="s">
        <v>1007</v>
      </c>
      <c r="I27" s="2" t="s">
        <v>1044</v>
      </c>
      <c r="J27" s="2" t="s">
        <v>1045</v>
      </c>
      <c r="K27" s="2" t="s">
        <v>1509</v>
      </c>
      <c r="L27" s="26">
        <v>41729</v>
      </c>
      <c r="M27" s="23">
        <v>45107</v>
      </c>
      <c r="N27" s="24">
        <v>415.63</v>
      </c>
      <c r="O27" s="25">
        <v>12</v>
      </c>
      <c r="P27" s="20">
        <f t="shared" si="0"/>
        <v>427.63</v>
      </c>
      <c r="Q27" s="53">
        <f>SUMIFS(MasterTable[Estimate of Arrears at end of the current FY 2020/21 (value)],MasterTable[[Project Code and Name ]],PAProjects5[[#This Row],[LINKING_CODE]],MasterTable[Funding Source],"GoU Funded")/10^9</f>
        <v>50.238770926000001</v>
      </c>
      <c r="R27" s="108">
        <f>SUMIFS(MasterTable[Arrears + All Contractual Commitments (value next FY)],MasterTable[[Project Code and Name ]],PAProjects5[[#This Row],[LINKING_CODE]],MasterTable[Funding Source],"GoU Funded")/10^9</f>
        <v>84.123170926</v>
      </c>
      <c r="S27" s="108">
        <f>SUMIFS(MasterTable[Arrears + All Contractual Commitments (value next FY)],MasterTable[[Project Code and Name ]],PAProjects5[[#This Row],[LINKING_CODE]],MasterTable[Funding Source],"External Financing")/10^9</f>
        <v>0</v>
      </c>
      <c r="T27" s="49">
        <f>PAProjects[[#This Row],[GOU 21/22]]+PAProjects[[#This Row],[DONOR 21/22]]</f>
        <v>84.123170926</v>
      </c>
      <c r="U27" s="107">
        <f>SUMIFS(MasterTable[FY1 (FY22-23)],MasterTable[[Project Code and Name ]],PAProjects5[[#This Row],[LINKING_CODE]],MasterTable[Funding Source],"GoU Funded")/10^9</f>
        <v>0.75600000000000001</v>
      </c>
      <c r="V27" s="52">
        <f>SUMIFS(MasterTable[FY1 (FY22-23)],MasterTable[[Project Code and Name ]],PAProjects5[[#This Row],[LINKING_CODE]],MasterTable[Funding Source],"External Financing")/10^9</f>
        <v>0</v>
      </c>
      <c r="W27" s="49">
        <f>PAProjects[[#This Row],[GOU 22/23]]+PAProjects[[#This Row],[DONOR 22/23]]</f>
        <v>0.75600000000000001</v>
      </c>
      <c r="X27" s="52">
        <f>SUMIFS(MasterTable[FY2 (FY23-24)],MasterTable[[Project Code and Name ]],PAProjects5[[#This Row],[LINKING_CODE]],MasterTable[Funding Source],"GoU Funded")/10^9</f>
        <v>0</v>
      </c>
      <c r="Y27" s="52">
        <f>SUMIFS(MasterTable[FY2 (FY23-24)],MasterTable[[Project Code and Name ]],PAProjects5[[#This Row],[LINKING_CODE]],MasterTable[Funding Source],"External Financing")/10^9</f>
        <v>0</v>
      </c>
      <c r="Z27" s="2">
        <f t="shared" si="2"/>
        <v>0</v>
      </c>
      <c r="AA27" s="52">
        <f>SUMIFS(MasterTable[FY3 (FY24-25)],MasterTable[[Project Code and Name ]],PAProjects5[[#This Row],[LINKING_CODE]],MasterTable[Funding Source],"GoU Funded")/10^9</f>
        <v>0</v>
      </c>
      <c r="AB27" s="52">
        <f>SUMIFS(MasterTable[FY3 (FY24-25)],MasterTable[[Project Code and Name ]],PAProjects5[[#This Row],[LINKING_CODE]],MasterTable[Funding Source],"External Financing")/10^9</f>
        <v>0</v>
      </c>
      <c r="AC27" s="49">
        <f>PAProjects[[#This Row],[GOU 24/25]]+PAProjects[[#This Row],[DONOR 24/25]]</f>
        <v>0</v>
      </c>
    </row>
    <row r="28" spans="1:29" ht="15" hidden="1" customHeight="1" x14ac:dyDescent="0.25">
      <c r="A28" s="21" t="s">
        <v>104</v>
      </c>
      <c r="B28" s="2" t="s">
        <v>395</v>
      </c>
      <c r="C28" s="2" t="e">
        <f ca="1">PAProjects5[[#This Row],[LINKING_CODE]]=_xlfn.CONCAT(PAProjects5[[#This Row],[Project Code]]," ",PAProjects5[[#This Row],[Project Name]])</f>
        <v>#NAME?</v>
      </c>
      <c r="D28" s="2" t="str">
        <f>VLOOKUP(PAProjects5[[#This Row],[LINKING_CODE]],MasterTable[[Project Code and Name ]],1,FALSE)</f>
        <v>1279 Seeta-Kyaliwajjala-Matugga-Wakiso-Buloba-Nsangi</v>
      </c>
      <c r="E28" s="2" t="s">
        <v>515</v>
      </c>
      <c r="F28" s="2" t="s">
        <v>944</v>
      </c>
      <c r="G28" s="2" t="s">
        <v>113</v>
      </c>
      <c r="H28" s="2" t="s">
        <v>1007</v>
      </c>
      <c r="I28" s="2" t="s">
        <v>1046</v>
      </c>
      <c r="J28" s="2" t="s">
        <v>1047</v>
      </c>
      <c r="K28" s="2" t="s">
        <v>1509</v>
      </c>
      <c r="L28" s="26">
        <v>41671</v>
      </c>
      <c r="M28" s="23">
        <v>45473</v>
      </c>
      <c r="N28" s="20"/>
      <c r="O28" s="20"/>
      <c r="P28" s="20">
        <f t="shared" si="0"/>
        <v>0</v>
      </c>
      <c r="Q28" s="53">
        <f>SUMIFS(MasterTable[Estimate of Arrears at end of the current FY 2020/21 (value)],MasterTable[[Project Code and Name ]],PAProjects5[[#This Row],[LINKING_CODE]],MasterTable[Funding Source],"GoU Funded")/10^9</f>
        <v>0</v>
      </c>
      <c r="R28" s="108">
        <f>SUMIFS(MasterTable[Arrears + All Contractual Commitments (value next FY)],MasterTable[[Project Code and Name ]],PAProjects5[[#This Row],[LINKING_CODE]],MasterTable[Funding Source],"GoU Funded")/10^9</f>
        <v>86.666666665999998</v>
      </c>
      <c r="S28" s="108">
        <f>SUMIFS(MasterTable[Arrears + All Contractual Commitments (value next FY)],MasterTable[[Project Code and Name ]],PAProjects5[[#This Row],[LINKING_CODE]],MasterTable[Funding Source],"External Financing")/10^9</f>
        <v>0</v>
      </c>
      <c r="T28" s="49">
        <f>PAProjects[[#This Row],[GOU 21/22]]+PAProjects[[#This Row],[DONOR 21/22]]</f>
        <v>86.666666665999998</v>
      </c>
      <c r="U28" s="107">
        <f>SUMIFS(MasterTable[FY1 (FY22-23)],MasterTable[[Project Code and Name ]],PAProjects5[[#This Row],[LINKING_CODE]],MasterTable[Funding Source],"GoU Funded")/10^9</f>
        <v>70</v>
      </c>
      <c r="V28" s="52">
        <f>SUMIFS(MasterTable[FY1 (FY22-23)],MasterTable[[Project Code and Name ]],PAProjects5[[#This Row],[LINKING_CODE]],MasterTable[Funding Source],"External Financing")/10^9</f>
        <v>0</v>
      </c>
      <c r="W28" s="49">
        <f>PAProjects[[#This Row],[GOU 22/23]]+PAProjects[[#This Row],[DONOR 22/23]]</f>
        <v>70</v>
      </c>
      <c r="X28" s="52">
        <f>SUMIFS(MasterTable[FY2 (FY23-24)],MasterTable[[Project Code and Name ]],PAProjects5[[#This Row],[LINKING_CODE]],MasterTable[Funding Source],"GoU Funded")/10^9</f>
        <v>70</v>
      </c>
      <c r="Y28" s="52">
        <f>SUMIFS(MasterTable[FY2 (FY23-24)],MasterTable[[Project Code and Name ]],PAProjects5[[#This Row],[LINKING_CODE]],MasterTable[Funding Source],"External Financing")/10^9</f>
        <v>0</v>
      </c>
      <c r="Z28" s="34">
        <f t="shared" si="2"/>
        <v>70</v>
      </c>
      <c r="AA28" s="52">
        <f>SUMIFS(MasterTable[FY3 (FY24-25)],MasterTable[[Project Code and Name ]],PAProjects5[[#This Row],[LINKING_CODE]],MasterTable[Funding Source],"GoU Funded")/10^9</f>
        <v>0</v>
      </c>
      <c r="AB28" s="52">
        <f>SUMIFS(MasterTable[FY3 (FY24-25)],MasterTable[[Project Code and Name ]],PAProjects5[[#This Row],[LINKING_CODE]],MasterTable[Funding Source],"External Financing")/10^9</f>
        <v>0</v>
      </c>
      <c r="AC28" s="49">
        <f>PAProjects[[#This Row],[GOU 24/25]]+PAProjects[[#This Row],[DONOR 24/25]]</f>
        <v>0</v>
      </c>
    </row>
    <row r="29" spans="1:29" ht="15" hidden="1" customHeight="1" x14ac:dyDescent="0.25">
      <c r="A29" s="21" t="s">
        <v>105</v>
      </c>
      <c r="B29" s="2" t="s">
        <v>396</v>
      </c>
      <c r="C29" s="2" t="e">
        <f ca="1">PAProjects5[[#This Row],[LINKING_CODE]]=_xlfn.CONCAT(PAProjects5[[#This Row],[Project Code]]," ",PAProjects5[[#This Row],[Project Name]])</f>
        <v>#NAME?</v>
      </c>
      <c r="D29" s="2" t="str">
        <f>VLOOKUP(PAProjects5[[#This Row],[LINKING_CODE]],MasterTable[[Project Code and Name ]],1,FALSE)</f>
        <v>1280 Najjanankumbi-Busabala Road and Nambole-Namilyango-Seeta</v>
      </c>
      <c r="E29" s="2" t="s">
        <v>515</v>
      </c>
      <c r="F29" s="2" t="s">
        <v>944</v>
      </c>
      <c r="G29" s="2" t="s">
        <v>113</v>
      </c>
      <c r="H29" s="2" t="s">
        <v>1007</v>
      </c>
      <c r="I29" s="2" t="s">
        <v>1048</v>
      </c>
      <c r="J29" s="2" t="s">
        <v>1049</v>
      </c>
      <c r="K29" s="2" t="s">
        <v>1509</v>
      </c>
      <c r="L29" s="26">
        <v>41672</v>
      </c>
      <c r="M29" s="23">
        <v>45107</v>
      </c>
      <c r="N29" s="20"/>
      <c r="O29" s="20"/>
      <c r="P29" s="20">
        <f t="shared" si="0"/>
        <v>0</v>
      </c>
      <c r="Q29" s="53">
        <f>SUMIFS(MasterTable[Estimate of Arrears at end of the current FY 2020/21 (value)],MasterTable[[Project Code and Name ]],PAProjects5[[#This Row],[LINKING_CODE]],MasterTable[Funding Source],"GoU Funded")/10^9</f>
        <v>0</v>
      </c>
      <c r="R29" s="108">
        <f>SUMIFS(MasterTable[Arrears + All Contractual Commitments (value next FY)],MasterTable[[Project Code and Name ]],PAProjects5[[#This Row],[LINKING_CODE]],MasterTable[Funding Source],"GoU Funded")/10^9</f>
        <v>95</v>
      </c>
      <c r="S29" s="108">
        <f>SUMIFS(MasterTable[Arrears + All Contractual Commitments (value next FY)],MasterTable[[Project Code and Name ]],PAProjects5[[#This Row],[LINKING_CODE]],MasterTable[Funding Source],"External Financing")/10^9</f>
        <v>0</v>
      </c>
      <c r="T29" s="49">
        <f>PAProjects[[#This Row],[GOU 21/22]]+PAProjects[[#This Row],[DONOR 21/22]]</f>
        <v>95</v>
      </c>
      <c r="U29" s="107">
        <f>SUMIFS(MasterTable[FY1 (FY22-23)],MasterTable[[Project Code and Name ]],PAProjects5[[#This Row],[LINKING_CODE]],MasterTable[Funding Source],"GoU Funded")/10^9</f>
        <v>90</v>
      </c>
      <c r="V29" s="52">
        <f>SUMIFS(MasterTable[FY1 (FY22-23)],MasterTable[[Project Code and Name ]],PAProjects5[[#This Row],[LINKING_CODE]],MasterTable[Funding Source],"External Financing")/10^9</f>
        <v>0</v>
      </c>
      <c r="W29" s="49">
        <f>PAProjects[[#This Row],[GOU 22/23]]+PAProjects[[#This Row],[DONOR 22/23]]</f>
        <v>90</v>
      </c>
      <c r="X29" s="52">
        <f>SUMIFS(MasterTable[FY2 (FY23-24)],MasterTable[[Project Code and Name ]],PAProjects5[[#This Row],[LINKING_CODE]],MasterTable[Funding Source],"GoU Funded")/10^9</f>
        <v>0</v>
      </c>
      <c r="Y29" s="52">
        <f>SUMIFS(MasterTable[FY2 (FY23-24)],MasterTable[[Project Code and Name ]],PAProjects5[[#This Row],[LINKING_CODE]],MasterTable[Funding Source],"External Financing")/10^9</f>
        <v>0</v>
      </c>
      <c r="Z29" s="2">
        <f t="shared" si="2"/>
        <v>0</v>
      </c>
      <c r="AA29" s="52">
        <f>SUMIFS(MasterTable[FY3 (FY24-25)],MasterTable[[Project Code and Name ]],PAProjects5[[#This Row],[LINKING_CODE]],MasterTable[Funding Source],"GoU Funded")/10^9</f>
        <v>0</v>
      </c>
      <c r="AB29" s="52">
        <f>SUMIFS(MasterTable[FY3 (FY24-25)],MasterTable[[Project Code and Name ]],PAProjects5[[#This Row],[LINKING_CODE]],MasterTable[Funding Source],"External Financing")/10^9</f>
        <v>0</v>
      </c>
      <c r="AC29" s="49">
        <f>PAProjects[[#This Row],[GOU 24/25]]+PAProjects[[#This Row],[DONOR 24/25]]</f>
        <v>0</v>
      </c>
    </row>
    <row r="30" spans="1:29" ht="15" hidden="1" customHeight="1" x14ac:dyDescent="0.25">
      <c r="A30" s="21" t="s">
        <v>106</v>
      </c>
      <c r="B30" s="2" t="s">
        <v>397</v>
      </c>
      <c r="C30" s="2" t="e">
        <f ca="1">PAProjects5[[#This Row],[LINKING_CODE]]=_xlfn.CONCAT(PAProjects5[[#This Row],[Project Code]]," ",PAProjects5[[#This Row],[Project Name]])</f>
        <v>#NAME?</v>
      </c>
      <c r="D30" s="2" t="str">
        <f>VLOOKUP(PAProjects5[[#This Row],[LINKING_CODE]],MasterTable[[Project Code and Name ]],1,FALSE)</f>
        <v>1281 Tirinyi-Pallisa-Kumi/Kamonkoli Road</v>
      </c>
      <c r="E30" s="2" t="s">
        <v>515</v>
      </c>
      <c r="F30" s="2" t="s">
        <v>944</v>
      </c>
      <c r="G30" s="2" t="s">
        <v>113</v>
      </c>
      <c r="H30" s="2" t="s">
        <v>1007</v>
      </c>
      <c r="I30" s="2" t="s">
        <v>1050</v>
      </c>
      <c r="J30" s="2" t="s">
        <v>1051</v>
      </c>
      <c r="K30" s="2" t="s">
        <v>1509</v>
      </c>
      <c r="L30" s="26">
        <v>41729</v>
      </c>
      <c r="M30" s="23">
        <v>44742</v>
      </c>
      <c r="N30" s="24">
        <v>156.58600000000001</v>
      </c>
      <c r="O30" s="20"/>
      <c r="P30" s="20">
        <f t="shared" si="0"/>
        <v>156.58600000000001</v>
      </c>
      <c r="Q30" s="53">
        <f>SUMIFS(MasterTable[Estimate of Arrears at end of the current FY 2020/21 (value)],MasterTable[[Project Code and Name ]],PAProjects5[[#This Row],[LINKING_CODE]],MasterTable[Funding Source],"GoU Funded")/10^9</f>
        <v>0</v>
      </c>
      <c r="R30" s="108">
        <f>SUMIFS(MasterTable[Arrears + All Contractual Commitments (value next FY)],MasterTable[[Project Code and Name ]],PAProjects5[[#This Row],[LINKING_CODE]],MasterTable[Funding Source],"GoU Funded")/10^9</f>
        <v>15.681624615</v>
      </c>
      <c r="S30" s="108">
        <f>SUMIFS(MasterTable[Arrears + All Contractual Commitments (value next FY)],MasterTable[[Project Code and Name ]],PAProjects5[[#This Row],[LINKING_CODE]],MasterTable[Funding Source],"External Financing")/10^9</f>
        <v>43.932000000000002</v>
      </c>
      <c r="T30" s="49">
        <f>PAProjects[[#This Row],[GOU 21/22]]+PAProjects[[#This Row],[DONOR 21/22]]</f>
        <v>59.613624615000006</v>
      </c>
      <c r="U30" s="107">
        <f>SUMIFS(MasterTable[FY1 (FY22-23)],MasterTable[[Project Code and Name ]],PAProjects5[[#This Row],[LINKING_CODE]],MasterTable[Funding Source],"GoU Funded")/10^9</f>
        <v>0</v>
      </c>
      <c r="V30" s="52">
        <f>SUMIFS(MasterTable[FY1 (FY22-23)],MasterTable[[Project Code and Name ]],PAProjects5[[#This Row],[LINKING_CODE]],MasterTable[Funding Source],"External Financing")/10^9</f>
        <v>0</v>
      </c>
      <c r="W30" s="49">
        <f>PAProjects[[#This Row],[GOU 22/23]]+PAProjects[[#This Row],[DONOR 22/23]]</f>
        <v>0</v>
      </c>
      <c r="X30" s="52">
        <f>SUMIFS(MasterTable[FY2 (FY23-24)],MasterTable[[Project Code and Name ]],PAProjects5[[#This Row],[LINKING_CODE]],MasterTable[Funding Source],"GoU Funded")/10^9</f>
        <v>0</v>
      </c>
      <c r="Y30" s="52">
        <f>SUMIFS(MasterTable[FY2 (FY23-24)],MasterTable[[Project Code and Name ]],PAProjects5[[#This Row],[LINKING_CODE]],MasterTable[Funding Source],"External Financing")/10^9</f>
        <v>0</v>
      </c>
      <c r="Z30" s="2">
        <f t="shared" si="2"/>
        <v>0</v>
      </c>
      <c r="AA30" s="52">
        <f>SUMIFS(MasterTable[FY3 (FY24-25)],MasterTable[[Project Code and Name ]],PAProjects5[[#This Row],[LINKING_CODE]],MasterTable[Funding Source],"GoU Funded")/10^9</f>
        <v>0</v>
      </c>
      <c r="AB30" s="52">
        <f>SUMIFS(MasterTable[FY3 (FY24-25)],MasterTable[[Project Code and Name ]],PAProjects5[[#This Row],[LINKING_CODE]],MasterTable[Funding Source],"External Financing")/10^9</f>
        <v>0</v>
      </c>
      <c r="AC30" s="49">
        <f>PAProjects[[#This Row],[GOU 24/25]]+PAProjects[[#This Row],[DONOR 24/25]]</f>
        <v>0</v>
      </c>
    </row>
    <row r="31" spans="1:29" ht="15" hidden="1" customHeight="1" x14ac:dyDescent="0.25">
      <c r="A31" s="21" t="s">
        <v>1004</v>
      </c>
      <c r="B31" s="2" t="s">
        <v>425</v>
      </c>
      <c r="C31" s="2" t="e">
        <f ca="1">PAProjects5[[#This Row],[LINKING_CODE]]=_xlfn.CONCAT(PAProjects5[[#This Row],[Project Code]]," ",PAProjects5[[#This Row],[Project Name]])</f>
        <v>#NAME?</v>
      </c>
      <c r="D31" s="2" t="str">
        <f>VLOOKUP(PAProjects5[[#This Row],[LINKING_CODE]],MasterTable[[Project Code and Name ]],1,FALSE)</f>
        <v>1284 Development of new Kampala Port in Bukasa</v>
      </c>
      <c r="E31" s="2" t="s">
        <v>515</v>
      </c>
      <c r="F31" s="2" t="s">
        <v>944</v>
      </c>
      <c r="G31" s="2" t="s">
        <v>99</v>
      </c>
      <c r="H31" s="2" t="s">
        <v>1007</v>
      </c>
      <c r="I31" s="2" t="s">
        <v>1005</v>
      </c>
      <c r="J31" s="2" t="s">
        <v>1006</v>
      </c>
      <c r="K31" s="2" t="s">
        <v>1509</v>
      </c>
      <c r="L31" s="26">
        <v>41456</v>
      </c>
      <c r="M31" s="23">
        <v>44742</v>
      </c>
      <c r="N31" s="24">
        <v>140.80000000000001</v>
      </c>
      <c r="O31" s="25">
        <v>178</v>
      </c>
      <c r="P31" s="20">
        <f t="shared" si="0"/>
        <v>318.8</v>
      </c>
      <c r="Q31" s="53">
        <f>SUMIFS(MasterTable[Estimate of Arrears at end of the current FY 2020/21 (value)],MasterTable[[Project Code and Name ]],PAProjects5[[#This Row],[LINKING_CODE]],MasterTable[Funding Source],"GoU Funded")/10^9</f>
        <v>0</v>
      </c>
      <c r="R31" s="108">
        <f>SUMIFS(MasterTable[Arrears + All Contractual Commitments (value next FY)],MasterTable[[Project Code and Name ]],PAProjects5[[#This Row],[LINKING_CODE]],MasterTable[Funding Source],"GoU Funded")/10^9</f>
        <v>5.31</v>
      </c>
      <c r="S31" s="108">
        <f>SUMIFS(MasterTable[Arrears + All Contractual Commitments (value next FY)],MasterTable[[Project Code and Name ]],PAProjects5[[#This Row],[LINKING_CODE]],MasterTable[Funding Source],"External Financing")/10^9</f>
        <v>1.0029999999999999</v>
      </c>
      <c r="T31" s="38">
        <f>PAProjects[[#This Row],[GOU 21/22]]+PAProjects[[#This Row],[DONOR 21/22]]</f>
        <v>6.3129999999999997</v>
      </c>
      <c r="U31" s="107">
        <f>SUMIFS(MasterTable[FY1 (FY22-23)],MasterTable[[Project Code and Name ]],PAProjects5[[#This Row],[LINKING_CODE]],MasterTable[Funding Source],"GoU Funded")/10^9</f>
        <v>0</v>
      </c>
      <c r="V31" s="52">
        <f>SUMIFS(MasterTable[FY1 (FY22-23)],MasterTable[[Project Code and Name ]],PAProjects5[[#This Row],[LINKING_CODE]],MasterTable[Funding Source],"External Financing")/10^9</f>
        <v>0</v>
      </c>
      <c r="W31" s="49">
        <f>PAProjects[[#This Row],[GOU 22/23]]+PAProjects[[#This Row],[DONOR 22/23]]</f>
        <v>0</v>
      </c>
      <c r="X31" s="52">
        <f>SUMIFS(MasterTable[FY2 (FY23-24)],MasterTable[[Project Code and Name ]],PAProjects5[[#This Row],[LINKING_CODE]],MasterTable[Funding Source],"GoU Funded")/10^9</f>
        <v>0</v>
      </c>
      <c r="Y31" s="52">
        <f>SUMIFS(MasterTable[FY2 (FY23-24)],MasterTable[[Project Code and Name ]],PAProjects5[[#This Row],[LINKING_CODE]],MasterTable[Funding Source],"External Financing")/10^9</f>
        <v>0</v>
      </c>
      <c r="Z31" s="2">
        <f t="shared" si="2"/>
        <v>0</v>
      </c>
      <c r="AA31" s="52">
        <f>SUMIFS(MasterTable[FY3 (FY24-25)],MasterTable[[Project Code and Name ]],PAProjects5[[#This Row],[LINKING_CODE]],MasterTable[Funding Source],"GoU Funded")/10^9</f>
        <v>0</v>
      </c>
      <c r="AB31" s="52">
        <f>SUMIFS(MasterTable[FY3 (FY24-25)],MasterTable[[Project Code and Name ]],PAProjects5[[#This Row],[LINKING_CODE]],MasterTable[Funding Source],"External Financing")/10^9</f>
        <v>0</v>
      </c>
      <c r="AC31" s="49">
        <f>PAProjects[[#This Row],[GOU 24/25]]+PAProjects[[#This Row],[DONOR 24/25]]</f>
        <v>0</v>
      </c>
    </row>
    <row r="32" spans="1:29" ht="15" hidden="1" customHeight="1" x14ac:dyDescent="0.25">
      <c r="A32" s="21" t="s">
        <v>148</v>
      </c>
      <c r="B32" s="2" t="s">
        <v>1479</v>
      </c>
      <c r="C32" s="2" t="e">
        <f ca="1">PAProjects5[[#This Row],[LINKING_CODE]]=_xlfn.CONCAT(PAProjects5[[#This Row],[Project Code]]," ",PAProjects5[[#This Row],[Project Name]])</f>
        <v>#NAME?</v>
      </c>
      <c r="D32" s="2" t="str">
        <f>VLOOKUP(PAProjects5[[#This Row],[LINKING_CODE]],MasterTable[[Project Code and Name ]],1,FALSE)</f>
        <v>1289 Competitiveness and Enterprise Development Project [CEDP] -012</v>
      </c>
      <c r="E32" s="2" t="s">
        <v>512</v>
      </c>
      <c r="F32" s="2" t="s">
        <v>1105</v>
      </c>
      <c r="G32" s="2" t="s">
        <v>1106</v>
      </c>
      <c r="H32" s="2" t="s">
        <v>1107</v>
      </c>
      <c r="I32" s="2" t="s">
        <v>854</v>
      </c>
      <c r="J32" s="22" t="s">
        <v>553</v>
      </c>
      <c r="K32" s="2" t="s">
        <v>1509</v>
      </c>
      <c r="L32" s="27">
        <v>41646</v>
      </c>
      <c r="M32" s="27">
        <v>44742</v>
      </c>
      <c r="N32" s="28">
        <v>32.72</v>
      </c>
      <c r="O32" s="28">
        <v>402.47489999999999</v>
      </c>
      <c r="P32" s="20">
        <f t="shared" si="0"/>
        <v>435.19489999999996</v>
      </c>
      <c r="Q32" s="53">
        <f>SUMIFS(MasterTable[Estimate of Arrears at end of the current FY 2020/21 (value)],MasterTable[[Project Code and Name ]],PAProjects5[[#This Row],[LINKING_CODE]],MasterTable[Funding Source],"GoU Funded")/10^9</f>
        <v>0</v>
      </c>
      <c r="R32" s="108">
        <f>SUMIFS(MasterTable[Arrears + All Contractual Commitments (value next FY)],MasterTable[[Project Code and Name ]],PAProjects5[[#This Row],[LINKING_CODE]],MasterTable[Funding Source],"GoU Funded")/10^9</f>
        <v>3.67</v>
      </c>
      <c r="S32" s="108">
        <f>SUMIFS(MasterTable[Arrears + All Contractual Commitments (value next FY)],MasterTable[[Project Code and Name ]],PAProjects5[[#This Row],[LINKING_CODE]],MasterTable[Funding Source],"External Financing")/10^9</f>
        <v>55.04</v>
      </c>
      <c r="T32" s="49">
        <f>PAProjects[[#This Row],[GOU 21/22]]+PAProjects[[#This Row],[DONOR 21/22]]</f>
        <v>58.71</v>
      </c>
      <c r="U32" s="107">
        <f>SUMIFS(MasterTable[FY1 (FY22-23)],MasterTable[[Project Code and Name ]],PAProjects5[[#This Row],[LINKING_CODE]],MasterTable[Funding Source],"GoU Funded")/10^9</f>
        <v>0</v>
      </c>
      <c r="V32" s="52">
        <f>SUMIFS(MasterTable[FY1 (FY22-23)],MasterTable[[Project Code and Name ]],PAProjects5[[#This Row],[LINKING_CODE]],MasterTable[Funding Source],"External Financing")/10^9</f>
        <v>0</v>
      </c>
      <c r="W32" s="49">
        <f>PAProjects[[#This Row],[GOU 22/23]]+PAProjects[[#This Row],[DONOR 22/23]]</f>
        <v>0</v>
      </c>
      <c r="X32" s="52">
        <f>SUMIFS(MasterTable[FY2 (FY23-24)],MasterTable[[Project Code and Name ]],PAProjects5[[#This Row],[LINKING_CODE]],MasterTable[Funding Source],"GoU Funded")/10^9</f>
        <v>0</v>
      </c>
      <c r="Y32" s="52">
        <f>SUMIFS(MasterTable[FY2 (FY23-24)],MasterTable[[Project Code and Name ]],PAProjects5[[#This Row],[LINKING_CODE]],MasterTable[Funding Source],"External Financing")/10^9</f>
        <v>0</v>
      </c>
      <c r="Z32" s="2">
        <f t="shared" si="2"/>
        <v>0</v>
      </c>
      <c r="AA32" s="52">
        <f>SUMIFS(MasterTable[FY3 (FY24-25)],MasterTable[[Project Code and Name ]],PAProjects5[[#This Row],[LINKING_CODE]],MasterTable[Funding Source],"GoU Funded")/10^9</f>
        <v>0</v>
      </c>
      <c r="AB32" s="52">
        <f>SUMIFS(MasterTable[FY3 (FY24-25)],MasterTable[[Project Code and Name ]],PAProjects5[[#This Row],[LINKING_CODE]],MasterTable[Funding Source],"External Financing")/10^9</f>
        <v>0</v>
      </c>
      <c r="AC32" s="49">
        <f>PAProjects[[#This Row],[GOU 24/25]]+PAProjects[[#This Row],[DONOR 24/25]]</f>
        <v>0</v>
      </c>
    </row>
    <row r="33" spans="1:29" ht="15" hidden="1" customHeight="1" x14ac:dyDescent="0.25">
      <c r="A33" s="21" t="s">
        <v>604</v>
      </c>
      <c r="B33" s="2" t="s">
        <v>458</v>
      </c>
      <c r="C33" s="2" t="e">
        <f ca="1">PAProjects5[[#This Row],[LINKING_CODE]]=_xlfn.CONCAT(PAProjects5[[#This Row],[Project Code]]," ",PAProjects5[[#This Row],[Project Name]])</f>
        <v>#NAME?</v>
      </c>
      <c r="D33" s="2" t="str">
        <f>VLOOKUP(PAProjects5[[#This Row],[LINKING_CODE]],MasterTable[[Project Code and Name ]],1,FALSE)</f>
        <v>1308 Development and Improvement of Special Needs Education (SNE)</v>
      </c>
      <c r="E33" s="2" t="s">
        <v>519</v>
      </c>
      <c r="F33" s="2" t="s">
        <v>960</v>
      </c>
      <c r="G33" s="2" t="s">
        <v>961</v>
      </c>
      <c r="H33" s="2" t="s">
        <v>962</v>
      </c>
      <c r="I33" s="2" t="s">
        <v>670</v>
      </c>
      <c r="J33" s="2" t="s">
        <v>963</v>
      </c>
      <c r="K33" s="2" t="s">
        <v>1509</v>
      </c>
      <c r="L33" s="23">
        <v>41821</v>
      </c>
      <c r="M33" s="23">
        <v>44742</v>
      </c>
      <c r="N33" s="24">
        <v>10.220000000000001</v>
      </c>
      <c r="O33" s="20"/>
      <c r="P33" s="20">
        <f t="shared" si="0"/>
        <v>10.220000000000001</v>
      </c>
      <c r="Q33" s="53">
        <f>SUMIFS(MasterTable[Estimate of Arrears at end of the current FY 2020/21 (value)],MasterTable[[Project Code and Name ]],PAProjects5[[#This Row],[LINKING_CODE]],MasterTable[Funding Source],"GoU Funded")/10^9</f>
        <v>0</v>
      </c>
      <c r="R33" s="108">
        <f>SUMIFS(MasterTable[Arrears + All Contractual Commitments (value next FY)],MasterTable[[Project Code and Name ]],PAProjects5[[#This Row],[LINKING_CODE]],MasterTable[Funding Source],"GoU Funded")/10^9</f>
        <v>2.7</v>
      </c>
      <c r="S33" s="108">
        <f>SUMIFS(MasterTable[Arrears + All Contractual Commitments (value next FY)],MasterTable[[Project Code and Name ]],PAProjects5[[#This Row],[LINKING_CODE]],MasterTable[Funding Source],"External Financing")/10^9</f>
        <v>0</v>
      </c>
      <c r="T33" s="49">
        <f>PAProjects[[#This Row],[GOU 21/22]]+PAProjects[[#This Row],[DONOR 21/22]]</f>
        <v>2.7</v>
      </c>
      <c r="U33" s="107">
        <f>SUMIFS(MasterTable[FY1 (FY22-23)],MasterTable[[Project Code and Name ]],PAProjects5[[#This Row],[LINKING_CODE]],MasterTable[Funding Source],"GoU Funded")/10^9</f>
        <v>0</v>
      </c>
      <c r="V33" s="52">
        <f>SUMIFS(MasterTable[FY1 (FY22-23)],MasterTable[[Project Code and Name ]],PAProjects5[[#This Row],[LINKING_CODE]],MasterTable[Funding Source],"External Financing")/10^9</f>
        <v>0</v>
      </c>
      <c r="W33" s="49">
        <f>PAProjects[[#This Row],[GOU 22/23]]+PAProjects[[#This Row],[DONOR 22/23]]</f>
        <v>0</v>
      </c>
      <c r="X33" s="52">
        <f>SUMIFS(MasterTable[FY2 (FY23-24)],MasterTable[[Project Code and Name ]],PAProjects5[[#This Row],[LINKING_CODE]],MasterTable[Funding Source],"GoU Funded")/10^9</f>
        <v>0</v>
      </c>
      <c r="Y33" s="52">
        <f>SUMIFS(MasterTable[FY2 (FY23-24)],MasterTable[[Project Code and Name ]],PAProjects5[[#This Row],[LINKING_CODE]],MasterTable[Funding Source],"External Financing")/10^9</f>
        <v>0</v>
      </c>
      <c r="Z33" s="2">
        <f t="shared" si="2"/>
        <v>0</v>
      </c>
      <c r="AA33" s="52">
        <f>SUMIFS(MasterTable[FY3 (FY24-25)],MasterTable[[Project Code and Name ]],PAProjects5[[#This Row],[LINKING_CODE]],MasterTable[Funding Source],"GoU Funded")/10^9</f>
        <v>0</v>
      </c>
      <c r="AB33" s="52">
        <f>SUMIFS(MasterTable[FY3 (FY24-25)],MasterTable[[Project Code and Name ]],PAProjects5[[#This Row],[LINKING_CODE]],MasterTable[Funding Source],"External Financing")/10^9</f>
        <v>0</v>
      </c>
      <c r="AC33" s="49">
        <f>PAProjects[[#This Row],[GOU 24/25]]+PAProjects[[#This Row],[DONOR 24/25]]</f>
        <v>0</v>
      </c>
    </row>
    <row r="34" spans="1:29" ht="15" hidden="1" customHeight="1" x14ac:dyDescent="0.25">
      <c r="A34" s="21" t="s">
        <v>292</v>
      </c>
      <c r="B34" s="2" t="s">
        <v>1296</v>
      </c>
      <c r="C34" s="2" t="e">
        <f ca="1">PAProjects5[[#This Row],[LINKING_CODE]]=_xlfn.CONCAT(PAProjects5[[#This Row],[Project Code]]," ",PAProjects5[[#This Row],[Project Name]])</f>
        <v>#NAME?</v>
      </c>
      <c r="D34" s="2" t="str">
        <f>VLOOKUP(PAProjects5[[#This Row],[LINKING_CODE]],MasterTable[[Project Code and Name ]],1,FALSE)</f>
        <v>1310 Albertine Region Sustainable Development Project -012</v>
      </c>
      <c r="E34" s="2" t="s">
        <v>512</v>
      </c>
      <c r="F34" s="2" t="s">
        <v>1105</v>
      </c>
      <c r="G34" s="2" t="s">
        <v>1106</v>
      </c>
      <c r="H34" s="2" t="s">
        <v>1493</v>
      </c>
      <c r="I34" s="2" t="s">
        <v>964</v>
      </c>
      <c r="J34" s="22" t="s">
        <v>554</v>
      </c>
      <c r="K34" s="2" t="s">
        <v>1509</v>
      </c>
      <c r="L34" s="27">
        <v>41646</v>
      </c>
      <c r="M34" s="23">
        <v>44742</v>
      </c>
      <c r="N34" s="28">
        <v>79.724000000000004</v>
      </c>
      <c r="O34" s="28">
        <v>93.424999999999997</v>
      </c>
      <c r="P34" s="20">
        <f t="shared" si="0"/>
        <v>173.149</v>
      </c>
      <c r="Q34" s="53">
        <f>SUMIFS(MasterTable[Estimate of Arrears at end of the current FY 2020/21 (value)],MasterTable[[Project Code and Name ]],PAProjects5[[#This Row],[LINKING_CODE]],MasterTable[Funding Source],"GoU Funded")/10^9</f>
        <v>0</v>
      </c>
      <c r="R34" s="108">
        <f>SUMIFS(MasterTable[Arrears + All Contractual Commitments (value next FY)],MasterTable[[Project Code and Name ]],PAProjects5[[#This Row],[LINKING_CODE]],MasterTable[Funding Source],"GoU Funded")/10^9</f>
        <v>0</v>
      </c>
      <c r="S34" s="108">
        <f>SUMIFS(MasterTable[Arrears + All Contractual Commitments (value next FY)],MasterTable[[Project Code and Name ]],PAProjects5[[#This Row],[LINKING_CODE]],MasterTable[Funding Source],"External Financing")/10^9</f>
        <v>0</v>
      </c>
      <c r="T34" s="49">
        <f>PAProjects[[#This Row],[GOU 21/22]]+PAProjects[[#This Row],[DONOR 21/22]]</f>
        <v>0</v>
      </c>
      <c r="U34" s="107">
        <f>SUMIFS(MasterTable[FY1 (FY22-23)],MasterTable[[Project Code and Name ]],PAProjects5[[#This Row],[LINKING_CODE]],MasterTable[Funding Source],"GoU Funded")/10^9</f>
        <v>0</v>
      </c>
      <c r="V34" s="52">
        <f>SUMIFS(MasterTable[FY1 (FY22-23)],MasterTable[[Project Code and Name ]],PAProjects5[[#This Row],[LINKING_CODE]],MasterTable[Funding Source],"External Financing")/10^9</f>
        <v>0</v>
      </c>
      <c r="W34" s="49">
        <f>PAProjects[[#This Row],[GOU 22/23]]+PAProjects[[#This Row],[DONOR 22/23]]</f>
        <v>0</v>
      </c>
      <c r="X34" s="52">
        <f>SUMIFS(MasterTable[FY2 (FY23-24)],MasterTable[[Project Code and Name ]],PAProjects5[[#This Row],[LINKING_CODE]],MasterTable[Funding Source],"GoU Funded")/10^9</f>
        <v>0</v>
      </c>
      <c r="Y34" s="52">
        <f>SUMIFS(MasterTable[FY2 (FY23-24)],MasterTable[[Project Code and Name ]],PAProjects5[[#This Row],[LINKING_CODE]],MasterTable[Funding Source],"External Financing")/10^9</f>
        <v>0</v>
      </c>
      <c r="Z34" s="2">
        <f t="shared" si="2"/>
        <v>0</v>
      </c>
      <c r="AA34" s="52">
        <f>SUMIFS(MasterTable[FY3 (FY24-25)],MasterTable[[Project Code and Name ]],PAProjects5[[#This Row],[LINKING_CODE]],MasterTable[Funding Source],"GoU Funded")/10^9</f>
        <v>0</v>
      </c>
      <c r="AB34" s="52">
        <f>SUMIFS(MasterTable[FY3 (FY24-25)],MasterTable[[Project Code and Name ]],PAProjects5[[#This Row],[LINKING_CODE]],MasterTable[Funding Source],"External Financing")/10^9</f>
        <v>0</v>
      </c>
      <c r="AC34" s="49">
        <f>PAProjects[[#This Row],[GOU 24/25]]+PAProjects[[#This Row],[DONOR 24/25]]</f>
        <v>0</v>
      </c>
    </row>
    <row r="35" spans="1:29" ht="15" hidden="1" customHeight="1" x14ac:dyDescent="0.25">
      <c r="A35" s="21" t="s">
        <v>605</v>
      </c>
      <c r="B35" s="2" t="s">
        <v>1297</v>
      </c>
      <c r="C35" s="2" t="e">
        <f ca="1">PAProjects5[[#This Row],[LINKING_CODE]]=_xlfn.CONCAT(PAProjects5[[#This Row],[Project Code]]," ",PAProjects5[[#This Row],[Project Name]])</f>
        <v>#NAME?</v>
      </c>
      <c r="D35" s="2" t="str">
        <f>VLOOKUP(PAProjects5[[#This Row],[LINKING_CODE]],MasterTable[[Project Code and Name ]],1,FALSE)</f>
        <v>1310 Albertine Region Sustainable Development Project -013</v>
      </c>
      <c r="E35" s="2" t="s">
        <v>519</v>
      </c>
      <c r="F35" s="2" t="s">
        <v>960</v>
      </c>
      <c r="G35" s="2" t="s">
        <v>961</v>
      </c>
      <c r="H35" s="2" t="s">
        <v>962</v>
      </c>
      <c r="I35" s="2" t="s">
        <v>964</v>
      </c>
      <c r="J35" s="22" t="s">
        <v>554</v>
      </c>
      <c r="K35" s="2" t="s">
        <v>1509</v>
      </c>
      <c r="L35" s="23">
        <v>41821</v>
      </c>
      <c r="M35" s="23">
        <v>44742</v>
      </c>
      <c r="N35" s="24">
        <v>8.6229999999999993</v>
      </c>
      <c r="O35" s="25">
        <v>61.3</v>
      </c>
      <c r="P35" s="20">
        <f t="shared" si="0"/>
        <v>69.923000000000002</v>
      </c>
      <c r="Q35" s="53">
        <f>SUMIFS(MasterTable[Estimate of Arrears at end of the current FY 2020/21 (value)],MasterTable[[Project Code and Name ]],PAProjects5[[#This Row],[LINKING_CODE]],MasterTable[Funding Source],"GoU Funded")/10^9</f>
        <v>0</v>
      </c>
      <c r="R35" s="108">
        <f>SUMIFS(MasterTable[Arrears + All Contractual Commitments (value next FY)],MasterTable[[Project Code and Name ]],PAProjects5[[#This Row],[LINKING_CODE]],MasterTable[Funding Source],"GoU Funded")/10^9</f>
        <v>0.83875629500000004</v>
      </c>
      <c r="S35" s="108">
        <f>SUMIFS(MasterTable[Arrears + All Contractual Commitments (value next FY)],MasterTable[[Project Code and Name ]],PAProjects5[[#This Row],[LINKING_CODE]],MasterTable[Funding Source],"External Financing")/10^9</f>
        <v>17.76495375</v>
      </c>
      <c r="T35" s="49">
        <f>PAProjects[[#This Row],[GOU 21/22]]+PAProjects[[#This Row],[DONOR 21/22]]</f>
        <v>18.603710045</v>
      </c>
      <c r="U35" s="107">
        <f>SUMIFS(MasterTable[FY1 (FY22-23)],MasterTable[[Project Code and Name ]],PAProjects5[[#This Row],[LINKING_CODE]],MasterTable[Funding Source],"GoU Funded")/10^9</f>
        <v>0</v>
      </c>
      <c r="V35" s="52">
        <f>SUMIFS(MasterTable[FY1 (FY22-23)],MasterTable[[Project Code and Name ]],PAProjects5[[#This Row],[LINKING_CODE]],MasterTable[Funding Source],"External Financing")/10^9</f>
        <v>0</v>
      </c>
      <c r="W35" s="49">
        <f>PAProjects[[#This Row],[GOU 22/23]]+PAProjects[[#This Row],[DONOR 22/23]]</f>
        <v>0</v>
      </c>
      <c r="X35" s="52">
        <f>SUMIFS(MasterTable[FY2 (FY23-24)],MasterTable[[Project Code and Name ]],PAProjects5[[#This Row],[LINKING_CODE]],MasterTable[Funding Source],"GoU Funded")/10^9</f>
        <v>0</v>
      </c>
      <c r="Y35" s="52">
        <f>SUMIFS(MasterTable[FY2 (FY23-24)],MasterTable[[Project Code and Name ]],PAProjects5[[#This Row],[LINKING_CODE]],MasterTable[Funding Source],"External Financing")/10^9</f>
        <v>0</v>
      </c>
      <c r="Z35" s="2">
        <f t="shared" si="2"/>
        <v>0</v>
      </c>
      <c r="AA35" s="52">
        <f>SUMIFS(MasterTable[FY3 (FY24-25)],MasterTable[[Project Code and Name ]],PAProjects5[[#This Row],[LINKING_CODE]],MasterTable[Funding Source],"GoU Funded")/10^9</f>
        <v>0</v>
      </c>
      <c r="AB35" s="52">
        <f>SUMIFS(MasterTable[FY3 (FY24-25)],MasterTable[[Project Code and Name ]],PAProjects5[[#This Row],[LINKING_CODE]],MasterTable[Funding Source],"External Financing")/10^9</f>
        <v>0</v>
      </c>
      <c r="AC35" s="49">
        <f>PAProjects[[#This Row],[GOU 24/25]]+PAProjects[[#This Row],[DONOR 24/25]]</f>
        <v>0</v>
      </c>
    </row>
    <row r="36" spans="1:29" ht="15" hidden="1" customHeight="1" x14ac:dyDescent="0.25">
      <c r="A36" s="21" t="s">
        <v>107</v>
      </c>
      <c r="B36" s="2" t="s">
        <v>1295</v>
      </c>
      <c r="C36" s="2" t="e">
        <f ca="1">PAProjects5[[#This Row],[LINKING_CODE]]=_xlfn.CONCAT(PAProjects5[[#This Row],[Project Code]]," ",PAProjects5[[#This Row],[Project Name]])</f>
        <v>#NAME?</v>
      </c>
      <c r="D36" s="2" t="str">
        <f>VLOOKUP(PAProjects5[[#This Row],[LINKING_CODE]],MasterTable[[Project Code and Name ]],1,FALSE)</f>
        <v>1310 Albertine Region Sustainable Development Project -113</v>
      </c>
      <c r="E36" s="2" t="s">
        <v>515</v>
      </c>
      <c r="F36" s="2" t="s">
        <v>944</v>
      </c>
      <c r="G36" s="2" t="s">
        <v>113</v>
      </c>
      <c r="H36" s="2" t="s">
        <v>1007</v>
      </c>
      <c r="I36" s="2" t="s">
        <v>964</v>
      </c>
      <c r="J36" s="22" t="s">
        <v>554</v>
      </c>
      <c r="K36" s="2" t="s">
        <v>1509</v>
      </c>
      <c r="L36" s="26">
        <v>41821</v>
      </c>
      <c r="M36" s="23">
        <v>44742</v>
      </c>
      <c r="N36" s="24">
        <v>79.724000000000004</v>
      </c>
      <c r="O36" s="25">
        <v>28.128</v>
      </c>
      <c r="P36" s="20">
        <f t="shared" si="0"/>
        <v>107.852</v>
      </c>
      <c r="Q36" s="53">
        <f>SUMIFS(MasterTable[Estimate of Arrears at end of the current FY 2020/21 (value)],MasterTable[[Project Code and Name ]],PAProjects5[[#This Row],[LINKING_CODE]],MasterTable[Funding Source],"GoU Funded")/10^9</f>
        <v>0</v>
      </c>
      <c r="R36" s="108">
        <f>SUMIFS(MasterTable[Arrears + All Contractual Commitments (value next FY)],MasterTable[[Project Code and Name ]],PAProjects5[[#This Row],[LINKING_CODE]],MasterTable[Funding Source],"GoU Funded")/10^9</f>
        <v>0</v>
      </c>
      <c r="S36" s="108">
        <f>SUMIFS(MasterTable[Arrears + All Contractual Commitments (value next FY)],MasterTable[[Project Code and Name ]],PAProjects5[[#This Row],[LINKING_CODE]],MasterTable[Funding Source],"External Financing")/10^9</f>
        <v>0</v>
      </c>
      <c r="T36" s="49">
        <f>PAProjects[[#This Row],[GOU 21/22]]+PAProjects[[#This Row],[DONOR 21/22]]</f>
        <v>0</v>
      </c>
      <c r="U36" s="107">
        <f>SUMIFS(MasterTable[FY1 (FY22-23)],MasterTable[[Project Code and Name ]],PAProjects5[[#This Row],[LINKING_CODE]],MasterTable[Funding Source],"GoU Funded")/10^9</f>
        <v>0</v>
      </c>
      <c r="V36" s="52">
        <f>SUMIFS(MasterTable[FY1 (FY22-23)],MasterTable[[Project Code and Name ]],PAProjects5[[#This Row],[LINKING_CODE]],MasterTable[Funding Source],"External Financing")/10^9</f>
        <v>0</v>
      </c>
      <c r="W36" s="49">
        <f>PAProjects[[#This Row],[GOU 22/23]]+PAProjects[[#This Row],[DONOR 22/23]]</f>
        <v>0</v>
      </c>
      <c r="X36" s="52">
        <f>SUMIFS(MasterTable[FY2 (FY23-24)],MasterTable[[Project Code and Name ]],PAProjects5[[#This Row],[LINKING_CODE]],MasterTable[Funding Source],"GoU Funded")/10^9</f>
        <v>0</v>
      </c>
      <c r="Y36" s="52">
        <f>SUMIFS(MasterTable[FY2 (FY23-24)],MasterTable[[Project Code and Name ]],PAProjects5[[#This Row],[LINKING_CODE]],MasterTable[Funding Source],"External Financing")/10^9</f>
        <v>0</v>
      </c>
      <c r="Z36" s="2">
        <f t="shared" si="2"/>
        <v>0</v>
      </c>
      <c r="AA36" s="52">
        <f>SUMIFS(MasterTable[FY3 (FY24-25)],MasterTable[[Project Code and Name ]],PAProjects5[[#This Row],[LINKING_CODE]],MasterTable[Funding Source],"GoU Funded")/10^9</f>
        <v>0</v>
      </c>
      <c r="AB36" s="52">
        <f>SUMIFS(MasterTable[FY3 (FY24-25)],MasterTable[[Project Code and Name ]],PAProjects5[[#This Row],[LINKING_CODE]],MasterTable[Funding Source],"External Financing")/10^9</f>
        <v>0</v>
      </c>
      <c r="AC36" s="49">
        <f>PAProjects[[#This Row],[GOU 24/25]]+PAProjects[[#This Row],[DONOR 24/25]]</f>
        <v>0</v>
      </c>
    </row>
    <row r="37" spans="1:29" ht="15" hidden="1" customHeight="1" x14ac:dyDescent="0.25">
      <c r="A37" s="21" t="s">
        <v>108</v>
      </c>
      <c r="B37" s="2" t="s">
        <v>398</v>
      </c>
      <c r="C37" s="2" t="e">
        <f ca="1">PAProjects5[[#This Row],[LINKING_CODE]]=_xlfn.CONCAT(PAProjects5[[#This Row],[Project Code]]," ",PAProjects5[[#This Row],[Project Name]])</f>
        <v>#NAME?</v>
      </c>
      <c r="D37" s="2" t="str">
        <f>VLOOKUP(PAProjects5[[#This Row],[LINKING_CODE]],MasterTable[[Project Code and Name ]],1,FALSE)</f>
        <v>1311 Upgrading Rukungiri-Kihihi-Ishasha/Kanungu Road</v>
      </c>
      <c r="E37" s="2" t="s">
        <v>515</v>
      </c>
      <c r="F37" s="2" t="s">
        <v>944</v>
      </c>
      <c r="G37" s="2" t="s">
        <v>113</v>
      </c>
      <c r="H37" s="2" t="s">
        <v>1007</v>
      </c>
      <c r="I37" s="2" t="s">
        <v>1052</v>
      </c>
      <c r="J37" s="2" t="s">
        <v>1053</v>
      </c>
      <c r="K37" s="2" t="s">
        <v>1509</v>
      </c>
      <c r="L37" s="26">
        <v>41821</v>
      </c>
      <c r="M37" s="23">
        <v>44742</v>
      </c>
      <c r="N37" s="24">
        <v>287</v>
      </c>
      <c r="O37" s="25">
        <v>17.664999999999999</v>
      </c>
      <c r="P37" s="20">
        <f t="shared" si="0"/>
        <v>304.66500000000002</v>
      </c>
      <c r="Q37" s="53">
        <f>SUMIFS(MasterTable[Estimate of Arrears at end of the current FY 2020/21 (value)],MasterTable[[Project Code and Name ]],PAProjects5[[#This Row],[LINKING_CODE]],MasterTable[Funding Source],"GoU Funded")/10^9</f>
        <v>0</v>
      </c>
      <c r="R37" s="108">
        <f>SUMIFS(MasterTable[Arrears + All Contractual Commitments (value next FY)],MasterTable[[Project Code and Name ]],PAProjects5[[#This Row],[LINKING_CODE]],MasterTable[Funding Source],"GoU Funded")/10^9</f>
        <v>7.76</v>
      </c>
      <c r="S37" s="108">
        <f>SUMIFS(MasterTable[Arrears + All Contractual Commitments (value next FY)],MasterTable[[Project Code and Name ]],PAProjects5[[#This Row],[LINKING_CODE]],MasterTable[Funding Source],"External Financing")/10^9</f>
        <v>51.75</v>
      </c>
      <c r="T37" s="49">
        <f>PAProjects[[#This Row],[GOU 21/22]]+PAProjects[[#This Row],[DONOR 21/22]]</f>
        <v>59.51</v>
      </c>
      <c r="U37" s="107">
        <f>SUMIFS(MasterTable[FY1 (FY22-23)],MasterTable[[Project Code and Name ]],PAProjects5[[#This Row],[LINKING_CODE]],MasterTable[Funding Source],"GoU Funded")/10^9</f>
        <v>0</v>
      </c>
      <c r="V37" s="52">
        <f>SUMIFS(MasterTable[FY1 (FY22-23)],MasterTable[[Project Code and Name ]],PAProjects5[[#This Row],[LINKING_CODE]],MasterTable[Funding Source],"External Financing")/10^9</f>
        <v>0</v>
      </c>
      <c r="W37" s="49">
        <f>PAProjects[[#This Row],[GOU 22/23]]+PAProjects[[#This Row],[DONOR 22/23]]</f>
        <v>0</v>
      </c>
      <c r="X37" s="52">
        <f>SUMIFS(MasterTable[FY2 (FY23-24)],MasterTable[[Project Code and Name ]],PAProjects5[[#This Row],[LINKING_CODE]],MasterTable[Funding Source],"GoU Funded")/10^9</f>
        <v>0</v>
      </c>
      <c r="Y37" s="52">
        <f>SUMIFS(MasterTable[FY2 (FY23-24)],MasterTable[[Project Code and Name ]],PAProjects5[[#This Row],[LINKING_CODE]],MasterTable[Funding Source],"External Financing")/10^9</f>
        <v>0</v>
      </c>
      <c r="Z37" s="2">
        <f t="shared" si="2"/>
        <v>0</v>
      </c>
      <c r="AA37" s="52">
        <f>SUMIFS(MasterTable[FY3 (FY24-25)],MasterTable[[Project Code and Name ]],PAProjects5[[#This Row],[LINKING_CODE]],MasterTable[Funding Source],"GoU Funded")/10^9</f>
        <v>0</v>
      </c>
      <c r="AB37" s="52">
        <f>SUMIFS(MasterTable[FY3 (FY24-25)],MasterTable[[Project Code and Name ]],PAProjects5[[#This Row],[LINKING_CODE]],MasterTable[Funding Source],"External Financing")/10^9</f>
        <v>0</v>
      </c>
      <c r="AC37" s="49">
        <f>PAProjects[[#This Row],[GOU 24/25]]+PAProjects[[#This Row],[DONOR 24/25]]</f>
        <v>0</v>
      </c>
    </row>
    <row r="38" spans="1:29" ht="15" hidden="1" customHeight="1" x14ac:dyDescent="0.25">
      <c r="A38" s="21" t="s">
        <v>109</v>
      </c>
      <c r="B38" s="2" t="s">
        <v>399</v>
      </c>
      <c r="C38" s="2" t="e">
        <f ca="1">PAProjects5[[#This Row],[LINKING_CODE]]=_xlfn.CONCAT(PAProjects5[[#This Row],[Project Code]]," ",PAProjects5[[#This Row],[Project Name]])</f>
        <v>#NAME?</v>
      </c>
      <c r="D38" s="2" t="str">
        <f>VLOOKUP(PAProjects5[[#This Row],[LINKING_CODE]],MasterTable[[Project Code and Name ]],1,FALSE)</f>
        <v>1312 Upgrading Mbale-Bubulo-Lwakhakha Road</v>
      </c>
      <c r="E38" s="2" t="s">
        <v>515</v>
      </c>
      <c r="F38" s="2" t="s">
        <v>944</v>
      </c>
      <c r="G38" s="2" t="s">
        <v>113</v>
      </c>
      <c r="H38" s="2" t="s">
        <v>1007</v>
      </c>
      <c r="I38" s="2" t="s">
        <v>1054</v>
      </c>
      <c r="J38" s="2" t="s">
        <v>1055</v>
      </c>
      <c r="K38" s="2" t="s">
        <v>1509</v>
      </c>
      <c r="L38" s="26">
        <v>41821</v>
      </c>
      <c r="M38" s="23">
        <v>44742</v>
      </c>
      <c r="N38" s="24">
        <v>48.854999999999997</v>
      </c>
      <c r="O38" s="25">
        <v>16.600000000000001</v>
      </c>
      <c r="P38" s="20">
        <f t="shared" si="0"/>
        <v>65.454999999999998</v>
      </c>
      <c r="Q38" s="53">
        <f>SUMIFS(MasterTable[Estimate of Arrears at end of the current FY 2020/21 (value)],MasterTable[[Project Code and Name ]],PAProjects5[[#This Row],[LINKING_CODE]],MasterTable[Funding Source],"GoU Funded")/10^9</f>
        <v>0</v>
      </c>
      <c r="R38" s="108">
        <f>SUMIFS(MasterTable[Arrears + All Contractual Commitments (value next FY)],MasterTable[[Project Code and Name ]],PAProjects5[[#This Row],[LINKING_CODE]],MasterTable[Funding Source],"GoU Funded")/10^9</f>
        <v>0</v>
      </c>
      <c r="S38" s="108">
        <f>SUMIFS(MasterTable[Arrears + All Contractual Commitments (value next FY)],MasterTable[[Project Code and Name ]],PAProjects5[[#This Row],[LINKING_CODE]],MasterTable[Funding Source],"External Financing")/10^9</f>
        <v>0</v>
      </c>
      <c r="T38" s="49">
        <f>PAProjects[[#This Row],[GOU 21/22]]+PAProjects[[#This Row],[DONOR 21/22]]</f>
        <v>0</v>
      </c>
      <c r="U38" s="107">
        <f>SUMIFS(MasterTable[FY1 (FY22-23)],MasterTable[[Project Code and Name ]],PAProjects5[[#This Row],[LINKING_CODE]],MasterTable[Funding Source],"GoU Funded")/10^9</f>
        <v>0</v>
      </c>
      <c r="V38" s="52">
        <f>SUMIFS(MasterTable[FY1 (FY22-23)],MasterTable[[Project Code and Name ]],PAProjects5[[#This Row],[LINKING_CODE]],MasterTable[Funding Source],"External Financing")/10^9</f>
        <v>0</v>
      </c>
      <c r="W38" s="49">
        <f>PAProjects[[#This Row],[GOU 22/23]]+PAProjects[[#This Row],[DONOR 22/23]]</f>
        <v>0</v>
      </c>
      <c r="X38" s="52">
        <f>SUMIFS(MasterTable[FY2 (FY23-24)],MasterTable[[Project Code and Name ]],PAProjects5[[#This Row],[LINKING_CODE]],MasterTable[Funding Source],"GoU Funded")/10^9</f>
        <v>0</v>
      </c>
      <c r="Y38" s="52">
        <f>SUMIFS(MasterTable[FY2 (FY23-24)],MasterTable[[Project Code and Name ]],PAProjects5[[#This Row],[LINKING_CODE]],MasterTable[Funding Source],"External Financing")/10^9</f>
        <v>0</v>
      </c>
      <c r="Z38" s="2">
        <f t="shared" si="2"/>
        <v>0</v>
      </c>
      <c r="AA38" s="52">
        <f>SUMIFS(MasterTable[FY3 (FY24-25)],MasterTable[[Project Code and Name ]],PAProjects5[[#This Row],[LINKING_CODE]],MasterTable[Funding Source],"GoU Funded")/10^9</f>
        <v>0</v>
      </c>
      <c r="AB38" s="52">
        <f>SUMIFS(MasterTable[FY3 (FY24-25)],MasterTable[[Project Code and Name ]],PAProjects5[[#This Row],[LINKING_CODE]],MasterTable[Funding Source],"External Financing")/10^9</f>
        <v>0</v>
      </c>
      <c r="AC38" s="49">
        <f>PAProjects[[#This Row],[GOU 24/25]]+PAProjects[[#This Row],[DONOR 24/25]]</f>
        <v>0</v>
      </c>
    </row>
    <row r="39" spans="1:29" ht="15" hidden="1" customHeight="1" x14ac:dyDescent="0.25">
      <c r="A39" s="21" t="s">
        <v>110</v>
      </c>
      <c r="B39" s="2" t="s">
        <v>400</v>
      </c>
      <c r="C39" s="2" t="e">
        <f ca="1">PAProjects5[[#This Row],[LINKING_CODE]]=_xlfn.CONCAT(PAProjects5[[#This Row],[Project Code]]," ",PAProjects5[[#This Row],[Project Name]])</f>
        <v>#NAME?</v>
      </c>
      <c r="D39" s="2" t="str">
        <f>VLOOKUP(PAProjects5[[#This Row],[LINKING_CODE]],MasterTable[[Project Code and Name ]],1,FALSE)</f>
        <v>1313 North Eastern Road-Corridor Asset Management Project</v>
      </c>
      <c r="E39" s="2" t="s">
        <v>515</v>
      </c>
      <c r="F39" s="2" t="s">
        <v>944</v>
      </c>
      <c r="G39" s="2" t="s">
        <v>113</v>
      </c>
      <c r="H39" s="2" t="s">
        <v>1007</v>
      </c>
      <c r="I39" s="2" t="s">
        <v>1056</v>
      </c>
      <c r="J39" s="2" t="s">
        <v>1057</v>
      </c>
      <c r="K39" s="2" t="s">
        <v>1509</v>
      </c>
      <c r="L39" s="26">
        <v>41821</v>
      </c>
      <c r="M39" s="23">
        <v>45473</v>
      </c>
      <c r="N39" s="24">
        <v>5.01</v>
      </c>
      <c r="O39" s="25">
        <v>267.589</v>
      </c>
      <c r="P39" s="20">
        <f t="shared" si="0"/>
        <v>272.59899999999999</v>
      </c>
      <c r="Q39" s="53">
        <f>SUMIFS(MasterTable[Estimate of Arrears at end of the current FY 2020/21 (value)],MasterTable[[Project Code and Name ]],PAProjects5[[#This Row],[LINKING_CODE]],MasterTable[Funding Source],"GoU Funded")/10^9</f>
        <v>0</v>
      </c>
      <c r="R39" s="108">
        <f>SUMIFS(MasterTable[Arrears + All Contractual Commitments (value next FY)],MasterTable[[Project Code and Name ]],PAProjects5[[#This Row],[LINKING_CODE]],MasterTable[Funding Source],"GoU Funded")/10^9</f>
        <v>0</v>
      </c>
      <c r="S39" s="108">
        <f>SUMIFS(MasterTable[Arrears + All Contractual Commitments (value next FY)],MasterTable[[Project Code and Name ]],PAProjects5[[#This Row],[LINKING_CODE]],MasterTable[Funding Source],"External Financing")/10^9</f>
        <v>165.28</v>
      </c>
      <c r="T39" s="49">
        <f>PAProjects[[#This Row],[GOU 21/22]]+PAProjects[[#This Row],[DONOR 21/22]]</f>
        <v>165.28</v>
      </c>
      <c r="U39" s="107">
        <f>SUMIFS(MasterTable[FY1 (FY22-23)],MasterTable[[Project Code and Name ]],PAProjects5[[#This Row],[LINKING_CODE]],MasterTable[Funding Source],"GoU Funded")/10^9</f>
        <v>0</v>
      </c>
      <c r="V39" s="52">
        <f>SUMIFS(MasterTable[FY1 (FY22-23)],MasterTable[[Project Code and Name ]],PAProjects5[[#This Row],[LINKING_CODE]],MasterTable[Funding Source],"External Financing")/10^9</f>
        <v>162.56</v>
      </c>
      <c r="W39" s="49">
        <f>PAProjects[[#This Row],[GOU 22/23]]+PAProjects[[#This Row],[DONOR 22/23]]</f>
        <v>162.56</v>
      </c>
      <c r="X39" s="52">
        <f>SUMIFS(MasterTable[FY2 (FY23-24)],MasterTable[[Project Code and Name ]],PAProjects5[[#This Row],[LINKING_CODE]],MasterTable[Funding Source],"GoU Funded")/10^9</f>
        <v>0</v>
      </c>
      <c r="Y39" s="52">
        <f>SUMIFS(MasterTable[FY2 (FY23-24)],MasterTable[[Project Code and Name ]],PAProjects5[[#This Row],[LINKING_CODE]],MasterTable[Funding Source],"External Financing")/10^9</f>
        <v>92.85</v>
      </c>
      <c r="Z39" s="34">
        <f t="shared" si="2"/>
        <v>92.85</v>
      </c>
      <c r="AA39" s="52">
        <f>SUMIFS(MasterTable[FY3 (FY24-25)],MasterTable[[Project Code and Name ]],PAProjects5[[#This Row],[LINKING_CODE]],MasterTable[Funding Source],"GoU Funded")/10^9</f>
        <v>0</v>
      </c>
      <c r="AB39" s="52">
        <f>SUMIFS(MasterTable[FY3 (FY24-25)],MasterTable[[Project Code and Name ]],PAProjects5[[#This Row],[LINKING_CODE]],MasterTable[Funding Source],"External Financing")/10^9</f>
        <v>0</v>
      </c>
      <c r="AC39" s="49">
        <f>PAProjects[[#This Row],[GOU 24/25]]+PAProjects[[#This Row],[DONOR 24/25]]</f>
        <v>0</v>
      </c>
    </row>
    <row r="40" spans="1:29" ht="15" hidden="1" customHeight="1" x14ac:dyDescent="0.25">
      <c r="A40" s="21" t="s">
        <v>111</v>
      </c>
      <c r="B40" s="2" t="s">
        <v>401</v>
      </c>
      <c r="C40" s="2" t="e">
        <f ca="1">PAProjects5[[#This Row],[LINKING_CODE]]=_xlfn.CONCAT(PAProjects5[[#This Row],[Project Code]]," ",PAProjects5[[#This Row],[Project Name]])</f>
        <v>#NAME?</v>
      </c>
      <c r="D40" s="2" t="str">
        <f>VLOOKUP(PAProjects5[[#This Row],[LINKING_CODE]],MasterTable[[Project Code and Name ]],1,FALSE)</f>
        <v>1319 Kampala Flyover</v>
      </c>
      <c r="E40" s="2" t="s">
        <v>515</v>
      </c>
      <c r="F40" s="2" t="s">
        <v>944</v>
      </c>
      <c r="G40" s="2" t="s">
        <v>113</v>
      </c>
      <c r="H40" s="2" t="s">
        <v>1007</v>
      </c>
      <c r="I40" s="2" t="s">
        <v>1058</v>
      </c>
      <c r="J40" s="2" t="s">
        <v>595</v>
      </c>
      <c r="K40" s="2" t="s">
        <v>1509</v>
      </c>
      <c r="L40" s="26">
        <v>42186</v>
      </c>
      <c r="M40" s="23">
        <v>45656</v>
      </c>
      <c r="N40" s="24">
        <v>180</v>
      </c>
      <c r="O40" s="25">
        <v>720</v>
      </c>
      <c r="P40" s="20">
        <f t="shared" si="0"/>
        <v>900</v>
      </c>
      <c r="Q40" s="53">
        <f>SUMIFS(MasterTable[Estimate of Arrears at end of the current FY 2020/21 (value)],MasterTable[[Project Code and Name ]],PAProjects5[[#This Row],[LINKING_CODE]],MasterTable[Funding Source],"GoU Funded")/10^9</f>
        <v>4.2592233799999999</v>
      </c>
      <c r="R40" s="108">
        <f>SUMIFS(MasterTable[Arrears + All Contractual Commitments (value next FY)],MasterTable[[Project Code and Name ]],PAProjects5[[#This Row],[LINKING_CODE]],MasterTable[Funding Source],"GoU Funded")/10^9</f>
        <v>61.289223380000003</v>
      </c>
      <c r="S40" s="108">
        <f>SUMIFS(MasterTable[Arrears + All Contractual Commitments (value next FY)],MasterTable[[Project Code and Name ]],PAProjects5[[#This Row],[LINKING_CODE]],MasterTable[Funding Source],"External Financing")/10^9</f>
        <v>187.1</v>
      </c>
      <c r="T40" s="49">
        <f>PAProjects[[#This Row],[GOU 21/22]]+PAProjects[[#This Row],[DONOR 21/22]]</f>
        <v>248.38922338</v>
      </c>
      <c r="U40" s="107">
        <f>SUMIFS(MasterTable[FY1 (FY22-23)],MasterTable[[Project Code and Name ]],PAProjects5[[#This Row],[LINKING_CODE]],MasterTable[Funding Source],"GoU Funded")/10^9</f>
        <v>57.03</v>
      </c>
      <c r="V40" s="52">
        <f>SUMIFS(MasterTable[FY1 (FY22-23)],MasterTable[[Project Code and Name ]],PAProjects5[[#This Row],[LINKING_CODE]],MasterTable[Funding Source],"External Financing")/10^9</f>
        <v>337.12</v>
      </c>
      <c r="W40" s="49">
        <f>PAProjects[[#This Row],[GOU 22/23]]+PAProjects[[#This Row],[DONOR 22/23]]</f>
        <v>394.15</v>
      </c>
      <c r="X40" s="52">
        <f>SUMIFS(MasterTable[FY2 (FY23-24)],MasterTable[[Project Code and Name ]],PAProjects5[[#This Row],[LINKING_CODE]],MasterTable[Funding Source],"GoU Funded")/10^9</f>
        <v>5.7030000000000003</v>
      </c>
      <c r="Y40" s="52">
        <f>SUMIFS(MasterTable[FY2 (FY23-24)],MasterTable[[Project Code and Name ]],PAProjects5[[#This Row],[LINKING_CODE]],MasterTable[Funding Source],"External Financing")/10^9</f>
        <v>399.6</v>
      </c>
      <c r="Z40" s="34">
        <f t="shared" si="2"/>
        <v>405.303</v>
      </c>
      <c r="AA40" s="52">
        <f>SUMIFS(MasterTable[FY3 (FY24-25)],MasterTable[[Project Code and Name ]],PAProjects5[[#This Row],[LINKING_CODE]],MasterTable[Funding Source],"GoU Funded")/10^9</f>
        <v>0</v>
      </c>
      <c r="AB40" s="52">
        <f>SUMIFS(MasterTable[FY3 (FY24-25)],MasterTable[[Project Code and Name ]],PAProjects5[[#This Row],[LINKING_CODE]],MasterTable[Funding Source],"External Financing")/10^9</f>
        <v>0</v>
      </c>
      <c r="AC40" s="49">
        <f>PAProjects[[#This Row],[GOU 24/25]]+PAProjects[[#This Row],[DONOR 24/25]]</f>
        <v>0</v>
      </c>
    </row>
    <row r="41" spans="1:29" ht="15" hidden="1" customHeight="1" x14ac:dyDescent="0.25">
      <c r="A41" s="21" t="s">
        <v>112</v>
      </c>
      <c r="B41" s="2" t="s">
        <v>402</v>
      </c>
      <c r="C41" s="2" t="e">
        <f ca="1">PAProjects5[[#This Row],[LINKING_CODE]]=_xlfn.CONCAT(PAProjects5[[#This Row],[Project Code]]," ",PAProjects5[[#This Row],[Project Name]])</f>
        <v>#NAME?</v>
      </c>
      <c r="D41" s="2" t="str">
        <f>VLOOKUP(PAProjects5[[#This Row],[LINKING_CODE]],MasterTable[[Project Code and Name ]],1,FALSE)</f>
        <v>1320  Construction of 66 Selected Bridges</v>
      </c>
      <c r="E41" s="2" t="s">
        <v>515</v>
      </c>
      <c r="F41" s="2" t="s">
        <v>944</v>
      </c>
      <c r="G41" s="2" t="s">
        <v>113</v>
      </c>
      <c r="H41" s="2" t="s">
        <v>1007</v>
      </c>
      <c r="I41" s="2" t="s">
        <v>596</v>
      </c>
      <c r="J41" s="2" t="s">
        <v>1059</v>
      </c>
      <c r="K41" s="2" t="s">
        <v>1509</v>
      </c>
      <c r="L41" s="26">
        <v>42186</v>
      </c>
      <c r="M41" s="23">
        <v>45107</v>
      </c>
      <c r="N41" s="24"/>
      <c r="O41" s="20"/>
      <c r="P41" s="20">
        <f t="shared" si="0"/>
        <v>0</v>
      </c>
      <c r="Q41" s="53">
        <f>SUMIFS(MasterTable[Estimate of Arrears at end of the current FY 2020/21 (value)],MasterTable[[Project Code and Name ]],PAProjects5[[#This Row],[LINKING_CODE]],MasterTable[Funding Source],"GoU Funded")/10^9</f>
        <v>29.626560801</v>
      </c>
      <c r="R41" s="108">
        <f>SUMIFS(MasterTable[Arrears + All Contractual Commitments (value next FY)],MasterTable[[Project Code and Name ]],PAProjects5[[#This Row],[LINKING_CODE]],MasterTable[Funding Source],"GoU Funded")/10^9</f>
        <v>203.56156080100001</v>
      </c>
      <c r="S41" s="108">
        <f>SUMIFS(MasterTable[Arrears + All Contractual Commitments (value next FY)],MasterTable[[Project Code and Name ]],PAProjects5[[#This Row],[LINKING_CODE]],MasterTable[Funding Source],"External Financing")/10^9</f>
        <v>0</v>
      </c>
      <c r="T41" s="49">
        <f>PAProjects[[#This Row],[GOU 21/22]]+PAProjects[[#This Row],[DONOR 21/22]]</f>
        <v>203.56156080100001</v>
      </c>
      <c r="U41" s="107">
        <f>SUMIFS(MasterTable[FY1 (FY22-23)],MasterTable[[Project Code and Name ]],PAProjects5[[#This Row],[LINKING_CODE]],MasterTable[Funding Source],"GoU Funded")/10^9</f>
        <v>124.54505</v>
      </c>
      <c r="V41" s="52">
        <f>SUMIFS(MasterTable[FY1 (FY22-23)],MasterTable[[Project Code and Name ]],PAProjects5[[#This Row],[LINKING_CODE]],MasterTable[Funding Source],"External Financing")/10^9</f>
        <v>0</v>
      </c>
      <c r="W41" s="49">
        <f>PAProjects[[#This Row],[GOU 22/23]]+PAProjects[[#This Row],[DONOR 22/23]]</f>
        <v>124.54505</v>
      </c>
      <c r="X41" s="52">
        <f>SUMIFS(MasterTable[FY2 (FY23-24)],MasterTable[[Project Code and Name ]],PAProjects5[[#This Row],[LINKING_CODE]],MasterTable[Funding Source],"GoU Funded")/10^9</f>
        <v>0</v>
      </c>
      <c r="Y41" s="52">
        <f>SUMIFS(MasterTable[FY2 (FY23-24)],MasterTable[[Project Code and Name ]],PAProjects5[[#This Row],[LINKING_CODE]],MasterTable[Funding Source],"External Financing")/10^9</f>
        <v>0</v>
      </c>
      <c r="Z41" s="2">
        <f t="shared" si="2"/>
        <v>0</v>
      </c>
      <c r="AA41" s="52">
        <f>SUMIFS(MasterTable[FY3 (FY24-25)],MasterTable[[Project Code and Name ]],PAProjects5[[#This Row],[LINKING_CODE]],MasterTable[Funding Source],"GoU Funded")/10^9</f>
        <v>0</v>
      </c>
      <c r="AB41" s="52">
        <f>SUMIFS(MasterTable[FY3 (FY24-25)],MasterTable[[Project Code and Name ]],PAProjects5[[#This Row],[LINKING_CODE]],MasterTable[Funding Source],"External Financing")/10^9</f>
        <v>0</v>
      </c>
      <c r="AC41" s="49">
        <f>PAProjects[[#This Row],[GOU 24/25]]+PAProjects[[#This Row],[DONOR 24/25]]</f>
        <v>0</v>
      </c>
    </row>
    <row r="42" spans="1:29" ht="15" hidden="1" customHeight="1" x14ac:dyDescent="0.25">
      <c r="A42" s="21" t="s">
        <v>113</v>
      </c>
      <c r="B42" s="2" t="s">
        <v>403</v>
      </c>
      <c r="C42" s="2" t="e">
        <f ca="1">PAProjects5[[#This Row],[LINKING_CODE]]=_xlfn.CONCAT(PAProjects5[[#This Row],[Project Code]]," ",PAProjects5[[#This Row],[Project Name]])</f>
        <v>#NAME?</v>
      </c>
      <c r="D42" s="2" t="str">
        <f>VLOOKUP(PAProjects5[[#This Row],[LINKING_CODE]],MasterTable[[Project Code and Name ]],1,FALSE)</f>
        <v>1322 Upgrading of Muyembe-Nakapiripirit (92 km)</v>
      </c>
      <c r="E42" s="2" t="s">
        <v>515</v>
      </c>
      <c r="F42" s="2" t="s">
        <v>944</v>
      </c>
      <c r="G42" s="2" t="s">
        <v>113</v>
      </c>
      <c r="H42" s="2" t="s">
        <v>1007</v>
      </c>
      <c r="I42" s="2" t="s">
        <v>1060</v>
      </c>
      <c r="J42" s="2" t="s">
        <v>1061</v>
      </c>
      <c r="K42" s="2" t="s">
        <v>1509</v>
      </c>
      <c r="L42" s="26">
        <v>42186</v>
      </c>
      <c r="M42" s="23">
        <v>45473</v>
      </c>
      <c r="N42" s="24">
        <v>61.956000000000003</v>
      </c>
      <c r="O42" s="25">
        <v>378.62</v>
      </c>
      <c r="P42" s="20">
        <f t="shared" si="0"/>
        <v>440.57600000000002</v>
      </c>
      <c r="Q42" s="53">
        <f>SUMIFS(MasterTable[Estimate of Arrears at end of the current FY 2020/21 (value)],MasterTable[[Project Code and Name ]],PAProjects5[[#This Row],[LINKING_CODE]],MasterTable[Funding Source],"GoU Funded")/10^9</f>
        <v>0</v>
      </c>
      <c r="R42" s="108">
        <f>SUMIFS(MasterTable[Arrears + All Contractual Commitments (value next FY)],MasterTable[[Project Code and Name ]],PAProjects5[[#This Row],[LINKING_CODE]],MasterTable[Funding Source],"GoU Funded")/10^9</f>
        <v>0.1</v>
      </c>
      <c r="S42" s="108">
        <f>SUMIFS(MasterTable[Arrears + All Contractual Commitments (value next FY)],MasterTable[[Project Code and Name ]],PAProjects5[[#This Row],[LINKING_CODE]],MasterTable[Funding Source],"External Financing")/10^9</f>
        <v>90</v>
      </c>
      <c r="T42" s="49">
        <f>PAProjects[[#This Row],[GOU 21/22]]+PAProjects[[#This Row],[DONOR 21/22]]</f>
        <v>90.1</v>
      </c>
      <c r="U42" s="107">
        <f>SUMIFS(MasterTable[FY1 (FY22-23)],MasterTable[[Project Code and Name ]],PAProjects5[[#This Row],[LINKING_CODE]],MasterTable[Funding Source],"GoU Funded")/10^9</f>
        <v>0.02</v>
      </c>
      <c r="V42" s="52">
        <f>SUMIFS(MasterTable[FY1 (FY22-23)],MasterTable[[Project Code and Name ]],PAProjects5[[#This Row],[LINKING_CODE]],MasterTable[Funding Source],"External Financing")/10^9</f>
        <v>45</v>
      </c>
      <c r="W42" s="49">
        <f>PAProjects[[#This Row],[GOU 22/23]]+PAProjects[[#This Row],[DONOR 22/23]]</f>
        <v>45.02</v>
      </c>
      <c r="X42" s="52">
        <f>SUMIFS(MasterTable[FY2 (FY23-24)],MasterTable[[Project Code and Name ]],PAProjects5[[#This Row],[LINKING_CODE]],MasterTable[Funding Source],"GoU Funded")/10^9</f>
        <v>0</v>
      </c>
      <c r="Y42" s="52">
        <f>SUMIFS(MasterTable[FY2 (FY23-24)],MasterTable[[Project Code and Name ]],PAProjects5[[#This Row],[LINKING_CODE]],MasterTable[Funding Source],"External Financing")/10^9</f>
        <v>0</v>
      </c>
      <c r="Z42" s="34">
        <f t="shared" si="2"/>
        <v>0</v>
      </c>
      <c r="AA42" s="52">
        <f>SUMIFS(MasterTable[FY3 (FY24-25)],MasterTable[[Project Code and Name ]],PAProjects5[[#This Row],[LINKING_CODE]],MasterTable[Funding Source],"GoU Funded")/10^9</f>
        <v>0</v>
      </c>
      <c r="AB42" s="52">
        <f>SUMIFS(MasterTable[FY3 (FY24-25)],MasterTable[[Project Code and Name ]],PAProjects5[[#This Row],[LINKING_CODE]],MasterTable[Funding Source],"External Financing")/10^9</f>
        <v>0</v>
      </c>
      <c r="AC42" s="49">
        <f>PAProjects[[#This Row],[GOU 24/25]]+PAProjects[[#This Row],[DONOR 24/25]]</f>
        <v>0</v>
      </c>
    </row>
    <row r="43" spans="1:29" ht="15" hidden="1" customHeight="1" x14ac:dyDescent="0.25">
      <c r="A43" s="21" t="s">
        <v>149</v>
      </c>
      <c r="B43" s="2" t="s">
        <v>1480</v>
      </c>
      <c r="C43" s="2" t="e">
        <f ca="1">PAProjects5[[#This Row],[LINKING_CODE]]=_xlfn.CONCAT(PAProjects5[[#This Row],[Project Code]]," ",PAProjects5[[#This Row],[Project Name]])</f>
        <v>#NAME?</v>
      </c>
      <c r="D43" s="2" t="str">
        <f>VLOOKUP(PAProjects5[[#This Row],[LINKING_CODE]],MasterTable[[Project Code and Name ]],1,FALSE)</f>
        <v>1338 Skills Development Project -013</v>
      </c>
      <c r="E43" s="2" t="s">
        <v>519</v>
      </c>
      <c r="F43" s="2" t="s">
        <v>960</v>
      </c>
      <c r="G43" s="2" t="s">
        <v>961</v>
      </c>
      <c r="H43" s="2" t="s">
        <v>1107</v>
      </c>
      <c r="I43" s="2" t="s">
        <v>671</v>
      </c>
      <c r="J43" s="22" t="s">
        <v>672</v>
      </c>
      <c r="K43" s="2" t="s">
        <v>1509</v>
      </c>
      <c r="L43" s="23">
        <v>42186</v>
      </c>
      <c r="M43" s="23">
        <v>44742</v>
      </c>
      <c r="N43" s="24">
        <v>5.1820000000000004</v>
      </c>
      <c r="O43" s="25">
        <v>246</v>
      </c>
      <c r="P43" s="20">
        <f t="shared" si="0"/>
        <v>251.18199999999999</v>
      </c>
      <c r="Q43" s="53">
        <f>SUMIFS(MasterTable[Estimate of Arrears at end of the current FY 2020/21 (value)],MasterTable[[Project Code and Name ]],PAProjects5[[#This Row],[LINKING_CODE]],MasterTable[Funding Source],"GoU Funded")/10^9</f>
        <v>0</v>
      </c>
      <c r="R43" s="108">
        <f>SUMIFS(MasterTable[Arrears + All Contractual Commitments (value next FY)],MasterTable[[Project Code and Name ]],PAProjects5[[#This Row],[LINKING_CODE]],MasterTable[Funding Source],"GoU Funded")/10^9</f>
        <v>0</v>
      </c>
      <c r="S43" s="108">
        <f>SUMIFS(MasterTable[Arrears + All Contractual Commitments (value next FY)],MasterTable[[Project Code and Name ]],PAProjects5[[#This Row],[LINKING_CODE]],MasterTable[Funding Source],"External Financing")/10^9</f>
        <v>89.938286250000004</v>
      </c>
      <c r="T43" s="49">
        <f>PAProjects[[#This Row],[GOU 21/22]]+PAProjects[[#This Row],[DONOR 21/22]]</f>
        <v>89.938286250000004</v>
      </c>
      <c r="U43" s="107">
        <f>SUMIFS(MasterTable[FY1 (FY22-23)],MasterTable[[Project Code and Name ]],PAProjects5[[#This Row],[LINKING_CODE]],MasterTable[Funding Source],"GoU Funded")/10^9</f>
        <v>0</v>
      </c>
      <c r="V43" s="52">
        <f>SUMIFS(MasterTable[FY1 (FY22-23)],MasterTable[[Project Code and Name ]],PAProjects5[[#This Row],[LINKING_CODE]],MasterTable[Funding Source],"External Financing")/10^9</f>
        <v>0</v>
      </c>
      <c r="W43" s="49">
        <f>PAProjects[[#This Row],[GOU 22/23]]+PAProjects[[#This Row],[DONOR 22/23]]</f>
        <v>0</v>
      </c>
      <c r="X43" s="52">
        <f>SUMIFS(MasterTable[FY2 (FY23-24)],MasterTable[[Project Code and Name ]],PAProjects5[[#This Row],[LINKING_CODE]],MasterTable[Funding Source],"GoU Funded")/10^9</f>
        <v>0</v>
      </c>
      <c r="Y43" s="52">
        <f>SUMIFS(MasterTable[FY2 (FY23-24)],MasterTable[[Project Code and Name ]],PAProjects5[[#This Row],[LINKING_CODE]],MasterTable[Funding Source],"External Financing")/10^9</f>
        <v>0</v>
      </c>
      <c r="Z43" s="2">
        <f t="shared" si="2"/>
        <v>0</v>
      </c>
      <c r="AA43" s="52">
        <f>SUMIFS(MasterTable[FY3 (FY24-25)],MasterTable[[Project Code and Name ]],PAProjects5[[#This Row],[LINKING_CODE]],MasterTable[Funding Source],"GoU Funded")/10^9</f>
        <v>0</v>
      </c>
      <c r="AB43" s="52">
        <f>SUMIFS(MasterTable[FY3 (FY24-25)],MasterTable[[Project Code and Name ]],PAProjects5[[#This Row],[LINKING_CODE]],MasterTable[Funding Source],"External Financing")/10^9</f>
        <v>0</v>
      </c>
      <c r="AC43" s="49">
        <f>PAProjects[[#This Row],[GOU 24/25]]+PAProjects[[#This Row],[DONOR 24/25]]</f>
        <v>0</v>
      </c>
    </row>
    <row r="44" spans="1:29" ht="15" hidden="1" customHeight="1" x14ac:dyDescent="0.25">
      <c r="A44" s="21" t="s">
        <v>607</v>
      </c>
      <c r="B44" s="2" t="s">
        <v>463</v>
      </c>
      <c r="C44" s="2" t="e">
        <f ca="1">PAProjects5[[#This Row],[LINKING_CODE]]=_xlfn.CONCAT(PAProjects5[[#This Row],[Project Code]]," ",PAProjects5[[#This Row],[Project Name]])</f>
        <v>#NAME?</v>
      </c>
      <c r="D44" s="2" t="str">
        <f>VLOOKUP(PAProjects5[[#This Row],[LINKING_CODE]],MasterTable[[Project Code and Name ]],1,FALSE)</f>
        <v xml:space="preserve">1339 Emergency Construction of Primary Schools Phase II  </v>
      </c>
      <c r="E44" s="2" t="s">
        <v>519</v>
      </c>
      <c r="F44" s="2" t="s">
        <v>960</v>
      </c>
      <c r="G44" s="2" t="s">
        <v>961</v>
      </c>
      <c r="H44" s="2" t="s">
        <v>962</v>
      </c>
      <c r="I44" s="2" t="s">
        <v>965</v>
      </c>
      <c r="J44" s="2" t="s">
        <v>966</v>
      </c>
      <c r="K44" s="2" t="s">
        <v>1509</v>
      </c>
      <c r="L44" s="23">
        <v>42186</v>
      </c>
      <c r="M44" s="23">
        <v>44742</v>
      </c>
      <c r="N44" s="20">
        <v>8.8879999999999999</v>
      </c>
      <c r="O44" s="20"/>
      <c r="P44" s="20">
        <f t="shared" si="0"/>
        <v>8.8879999999999999</v>
      </c>
      <c r="Q44" s="53">
        <f>SUMIFS(MasterTable[Estimate of Arrears at end of the current FY 2020/21 (value)],MasterTable[[Project Code and Name ]],PAProjects5[[#This Row],[LINKING_CODE]],MasterTable[Funding Source],"GoU Funded")/10^9</f>
        <v>2.803278594</v>
      </c>
      <c r="R44" s="108">
        <f>SUMIFS(MasterTable[Arrears + All Contractual Commitments (value next FY)],MasterTable[[Project Code and Name ]],PAProjects5[[#This Row],[LINKING_CODE]],MasterTable[Funding Source],"GoU Funded")/10^9</f>
        <v>13.783278594</v>
      </c>
      <c r="S44" s="108">
        <f>SUMIFS(MasterTable[Arrears + All Contractual Commitments (value next FY)],MasterTable[[Project Code and Name ]],PAProjects5[[#This Row],[LINKING_CODE]],MasterTable[Funding Source],"External Financing")/10^9</f>
        <v>0</v>
      </c>
      <c r="T44" s="49">
        <f>PAProjects[[#This Row],[GOU 21/22]]+PAProjects[[#This Row],[DONOR 21/22]]</f>
        <v>13.783278594</v>
      </c>
      <c r="U44" s="107">
        <f>SUMIFS(MasterTable[FY1 (FY22-23)],MasterTable[[Project Code and Name ]],PAProjects5[[#This Row],[LINKING_CODE]],MasterTable[Funding Source],"GoU Funded")/10^9</f>
        <v>0</v>
      </c>
      <c r="V44" s="52">
        <f>SUMIFS(MasterTable[FY1 (FY22-23)],MasterTable[[Project Code and Name ]],PAProjects5[[#This Row],[LINKING_CODE]],MasterTable[Funding Source],"External Financing")/10^9</f>
        <v>0</v>
      </c>
      <c r="W44" s="49">
        <f>PAProjects[[#This Row],[GOU 22/23]]+PAProjects[[#This Row],[DONOR 22/23]]</f>
        <v>0</v>
      </c>
      <c r="X44" s="52">
        <f>SUMIFS(MasterTable[FY2 (FY23-24)],MasterTable[[Project Code and Name ]],PAProjects5[[#This Row],[LINKING_CODE]],MasterTable[Funding Source],"GoU Funded")/10^9</f>
        <v>0</v>
      </c>
      <c r="Y44" s="52">
        <f>SUMIFS(MasterTable[FY2 (FY23-24)],MasterTable[[Project Code and Name ]],PAProjects5[[#This Row],[LINKING_CODE]],MasterTable[Funding Source],"External Financing")/10^9</f>
        <v>0</v>
      </c>
      <c r="Z44" s="2">
        <f t="shared" si="2"/>
        <v>0</v>
      </c>
      <c r="AA44" s="52">
        <f>SUMIFS(MasterTable[FY3 (FY24-25)],MasterTable[[Project Code and Name ]],PAProjects5[[#This Row],[LINKING_CODE]],MasterTable[Funding Source],"GoU Funded")/10^9</f>
        <v>0</v>
      </c>
      <c r="AB44" s="52">
        <f>SUMIFS(MasterTable[FY3 (FY24-25)],MasterTable[[Project Code and Name ]],PAProjects5[[#This Row],[LINKING_CODE]],MasterTable[Funding Source],"External Financing")/10^9</f>
        <v>0</v>
      </c>
      <c r="AC44" s="49">
        <f>PAProjects[[#This Row],[GOU 24/25]]+PAProjects[[#This Row],[DONOR 24/25]]</f>
        <v>0</v>
      </c>
    </row>
    <row r="45" spans="1:29" ht="15" hidden="1" customHeight="1" x14ac:dyDescent="0.25">
      <c r="A45" s="21" t="s">
        <v>635</v>
      </c>
      <c r="B45" s="2" t="s">
        <v>73</v>
      </c>
      <c r="C45" s="2" t="e">
        <f ca="1">PAProjects5[[#This Row],[LINKING_CODE]]=_xlfn.CONCAT(PAProjects5[[#This Row],[Project Code]]," ",PAProjects5[[#This Row],[Project Name]])</f>
        <v>#NAME?</v>
      </c>
      <c r="D45" s="2" t="str">
        <f>VLOOKUP(PAProjects5[[#This Row],[LINKING_CODE]],MasterTable[[Project Code and Name ]],1,FALSE)</f>
        <v>1344 Renovation and Equipping of Kayunga and Yumbe General Hospitals</v>
      </c>
      <c r="E45" s="2" t="s">
        <v>520</v>
      </c>
      <c r="F45" s="2" t="s">
        <v>975</v>
      </c>
      <c r="G45" s="2" t="s">
        <v>97</v>
      </c>
      <c r="H45" s="2" t="s">
        <v>962</v>
      </c>
      <c r="I45" s="2" t="s">
        <v>701</v>
      </c>
      <c r="J45" s="2" t="s">
        <v>702</v>
      </c>
      <c r="K45" s="2" t="s">
        <v>1509</v>
      </c>
      <c r="L45" s="23">
        <v>42186</v>
      </c>
      <c r="M45" s="23">
        <v>44742</v>
      </c>
      <c r="N45" s="24">
        <v>19.899999999999999</v>
      </c>
      <c r="O45" s="25">
        <v>132.4</v>
      </c>
      <c r="P45" s="20">
        <f t="shared" si="0"/>
        <v>152.30000000000001</v>
      </c>
      <c r="Q45" s="53">
        <f>SUMIFS(MasterTable[Estimate of Arrears at end of the current FY 2020/21 (value)],MasterTable[[Project Code and Name ]],PAProjects5[[#This Row],[LINKING_CODE]],MasterTable[Funding Source],"GoU Funded")/10^9</f>
        <v>0</v>
      </c>
      <c r="R45" s="108">
        <f>SUMIFS(MasterTable[Arrears + All Contractual Commitments (value next FY)],MasterTable[[Project Code and Name ]],PAProjects5[[#This Row],[LINKING_CODE]],MasterTable[Funding Source],"GoU Funded")/10^9</f>
        <v>1.579</v>
      </c>
      <c r="S45" s="108">
        <f>SUMIFS(MasterTable[Arrears + All Contractual Commitments (value next FY)],MasterTable[[Project Code and Name ]],PAProjects5[[#This Row],[LINKING_CODE]],MasterTable[Funding Source],"External Financing")/10^9</f>
        <v>3.3954</v>
      </c>
      <c r="T45" s="49">
        <f>PAProjects[[#This Row],[GOU 21/22]]+PAProjects[[#This Row],[DONOR 21/22]]</f>
        <v>4.9744000000000002</v>
      </c>
      <c r="U45" s="107">
        <f>SUMIFS(MasterTable[FY1 (FY22-23)],MasterTable[[Project Code and Name ]],PAProjects5[[#This Row],[LINKING_CODE]],MasterTable[Funding Source],"GoU Funded")/10^9</f>
        <v>0</v>
      </c>
      <c r="V45" s="52">
        <f>SUMIFS(MasterTable[FY1 (FY22-23)],MasterTable[[Project Code and Name ]],PAProjects5[[#This Row],[LINKING_CODE]],MasterTable[Funding Source],"External Financing")/10^9</f>
        <v>0</v>
      </c>
      <c r="W45" s="49">
        <f>PAProjects[[#This Row],[GOU 22/23]]+PAProjects[[#This Row],[DONOR 22/23]]</f>
        <v>0</v>
      </c>
      <c r="X45" s="52">
        <f>SUMIFS(MasterTable[FY2 (FY23-24)],MasterTable[[Project Code and Name ]],PAProjects5[[#This Row],[LINKING_CODE]],MasterTable[Funding Source],"GoU Funded")/10^9</f>
        <v>0</v>
      </c>
      <c r="Y45" s="52">
        <f>SUMIFS(MasterTable[FY2 (FY23-24)],MasterTable[[Project Code and Name ]],PAProjects5[[#This Row],[LINKING_CODE]],MasterTable[Funding Source],"External Financing")/10^9</f>
        <v>0</v>
      </c>
      <c r="Z45" s="2">
        <f t="shared" si="2"/>
        <v>0</v>
      </c>
      <c r="AA45" s="52">
        <f>SUMIFS(MasterTable[FY3 (FY24-25)],MasterTable[[Project Code and Name ]],PAProjects5[[#This Row],[LINKING_CODE]],MasterTable[Funding Source],"GoU Funded")/10^9</f>
        <v>0</v>
      </c>
      <c r="AB45" s="52">
        <f>SUMIFS(MasterTable[FY3 (FY24-25)],MasterTable[[Project Code and Name ]],PAProjects5[[#This Row],[LINKING_CODE]],MasterTable[Funding Source],"External Financing")/10^9</f>
        <v>0</v>
      </c>
      <c r="AC45" s="49">
        <f>PAProjects[[#This Row],[GOU 24/25]]+PAProjects[[#This Row],[DONOR 24/25]]</f>
        <v>0</v>
      </c>
    </row>
    <row r="46" spans="1:29" ht="15" hidden="1" customHeight="1" x14ac:dyDescent="0.25">
      <c r="A46" s="21" t="s">
        <v>276</v>
      </c>
      <c r="B46" s="2" t="s">
        <v>39</v>
      </c>
      <c r="C46" s="2" t="e">
        <f ca="1">PAProjects5[[#This Row],[LINKING_CODE]]=_xlfn.CONCAT(PAProjects5[[#This Row],[Project Code]]," ",PAProjects5[[#This Row],[Project Name]])</f>
        <v>#NAME?</v>
      </c>
      <c r="D46" s="2" t="str">
        <f>VLOOKUP(PAProjects5[[#This Row],[LINKING_CODE]],MasterTable[[Project Code and Name ]],1,FALSE)</f>
        <v>1350 Muzizi Hydro Power Project</v>
      </c>
      <c r="E46" s="2" t="s">
        <v>513</v>
      </c>
      <c r="F46" s="2" t="s">
        <v>1089</v>
      </c>
      <c r="G46" s="2" t="s">
        <v>66</v>
      </c>
      <c r="H46" s="2" t="s">
        <v>1251</v>
      </c>
      <c r="I46" s="2" t="s">
        <v>1246</v>
      </c>
      <c r="J46" s="2" t="s">
        <v>563</v>
      </c>
      <c r="K46" s="2" t="s">
        <v>1509</v>
      </c>
      <c r="L46" s="23">
        <v>42354</v>
      </c>
      <c r="M46" s="23">
        <v>44742</v>
      </c>
      <c r="N46" s="30">
        <v>76.67</v>
      </c>
      <c r="O46" s="31">
        <v>365.38600000000002</v>
      </c>
      <c r="P46" s="20">
        <f t="shared" si="0"/>
        <v>442.05600000000004</v>
      </c>
      <c r="Q46" s="53">
        <f>SUMIFS(MasterTable[Estimate of Arrears at end of the current FY 2020/21 (value)],MasterTable[[Project Code and Name ]],PAProjects5[[#This Row],[LINKING_CODE]],MasterTable[Funding Source],"GoU Funded")/10^9</f>
        <v>0</v>
      </c>
      <c r="R46" s="108">
        <f>SUMIFS(MasterTable[Arrears + All Contractual Commitments (value next FY)],MasterTable[[Project Code and Name ]],PAProjects5[[#This Row],[LINKING_CODE]],MasterTable[Funding Source],"GoU Funded")/10^9</f>
        <v>2.5169999999999999</v>
      </c>
      <c r="S46" s="108">
        <f>SUMIFS(MasterTable[Arrears + All Contractual Commitments (value next FY)],MasterTable[[Project Code and Name ]],PAProjects5[[#This Row],[LINKING_CODE]],MasterTable[Funding Source],"External Financing")/10^9</f>
        <v>15.39</v>
      </c>
      <c r="T46" s="49">
        <f>PAProjects[[#This Row],[GOU 21/22]]+PAProjects[[#This Row],[DONOR 21/22]]</f>
        <v>17.907</v>
      </c>
      <c r="U46" s="107">
        <f>SUMIFS(MasterTable[FY1 (FY22-23)],MasterTable[[Project Code and Name ]],PAProjects5[[#This Row],[LINKING_CODE]],MasterTable[Funding Source],"GoU Funded")/10^9</f>
        <v>0</v>
      </c>
      <c r="V46" s="52">
        <f>SUMIFS(MasterTable[FY1 (FY22-23)],MasterTable[[Project Code and Name ]],PAProjects5[[#This Row],[LINKING_CODE]],MasterTable[Funding Source],"External Financing")/10^9</f>
        <v>0</v>
      </c>
      <c r="W46" s="49">
        <f>PAProjects[[#This Row],[GOU 22/23]]+PAProjects[[#This Row],[DONOR 22/23]]</f>
        <v>0</v>
      </c>
      <c r="X46" s="52">
        <f>SUMIFS(MasterTable[FY2 (FY23-24)],MasterTable[[Project Code and Name ]],PAProjects5[[#This Row],[LINKING_CODE]],MasterTable[Funding Source],"GoU Funded")/10^9</f>
        <v>0</v>
      </c>
      <c r="Y46" s="52">
        <f>SUMIFS(MasterTable[FY2 (FY23-24)],MasterTable[[Project Code and Name ]],PAProjects5[[#This Row],[LINKING_CODE]],MasterTable[Funding Source],"External Financing")/10^9</f>
        <v>0</v>
      </c>
      <c r="Z46" s="2">
        <f t="shared" si="2"/>
        <v>0</v>
      </c>
      <c r="AA46" s="52">
        <f>SUMIFS(MasterTable[FY3 (FY24-25)],MasterTable[[Project Code and Name ]],PAProjects5[[#This Row],[LINKING_CODE]],MasterTable[Funding Source],"GoU Funded")/10^9</f>
        <v>0</v>
      </c>
      <c r="AB46" s="52">
        <f>SUMIFS(MasterTable[FY3 (FY24-25)],MasterTable[[Project Code and Name ]],PAProjects5[[#This Row],[LINKING_CODE]],MasterTable[Funding Source],"External Financing")/10^9</f>
        <v>0</v>
      </c>
      <c r="AC46" s="49">
        <f>PAProjects[[#This Row],[GOU 24/25]]+PAProjects[[#This Row],[DONOR 24/25]]</f>
        <v>0</v>
      </c>
    </row>
    <row r="47" spans="1:29" ht="15" hidden="1" customHeight="1" x14ac:dyDescent="0.25">
      <c r="A47" s="21" t="s">
        <v>277</v>
      </c>
      <c r="B47" s="2" t="s">
        <v>41</v>
      </c>
      <c r="C47" s="2" t="e">
        <f ca="1">PAProjects5[[#This Row],[LINKING_CODE]]=_xlfn.CONCAT(PAProjects5[[#This Row],[Project Code]]," ",PAProjects5[[#This Row],[Project Name]])</f>
        <v>#NAME?</v>
      </c>
      <c r="D47" s="2" t="str">
        <f>VLOOKUP(PAProjects5[[#This Row],[LINKING_CODE]],MasterTable[[Project Code and Name ]],1,FALSE)</f>
        <v>1351 Nyagak III Hydro Power Project</v>
      </c>
      <c r="E47" s="2" t="s">
        <v>513</v>
      </c>
      <c r="F47" s="2" t="s">
        <v>1089</v>
      </c>
      <c r="G47" s="2" t="s">
        <v>66</v>
      </c>
      <c r="H47" s="2" t="s">
        <v>1251</v>
      </c>
      <c r="I47" s="2" t="s">
        <v>1247</v>
      </c>
      <c r="J47" s="2" t="s">
        <v>573</v>
      </c>
      <c r="K47" s="2" t="s">
        <v>1509</v>
      </c>
      <c r="L47" s="23">
        <v>42186</v>
      </c>
      <c r="M47" s="23">
        <v>44742</v>
      </c>
      <c r="N47" s="30">
        <v>67.150000000000006</v>
      </c>
      <c r="O47" s="20"/>
      <c r="P47" s="20">
        <f t="shared" si="0"/>
        <v>67.150000000000006</v>
      </c>
      <c r="Q47" s="53">
        <f>SUMIFS(MasterTable[Estimate of Arrears at end of the current FY 2020/21 (value)],MasterTable[[Project Code and Name ]],PAProjects5[[#This Row],[LINKING_CODE]],MasterTable[Funding Source],"GoU Funded")/10^9</f>
        <v>0</v>
      </c>
      <c r="R47" s="108">
        <f>SUMIFS(MasterTable[Arrears + All Contractual Commitments (value next FY)],MasterTable[[Project Code and Name ]],PAProjects5[[#This Row],[LINKING_CODE]],MasterTable[Funding Source],"GoU Funded")/10^9</f>
        <v>12.293210999999999</v>
      </c>
      <c r="S47" s="108">
        <f>SUMIFS(MasterTable[Arrears + All Contractual Commitments (value next FY)],MasterTable[[Project Code and Name ]],PAProjects5[[#This Row],[LINKING_CODE]],MasterTable[Funding Source],"External Financing")/10^9</f>
        <v>0</v>
      </c>
      <c r="T47" s="49">
        <f>PAProjects[[#This Row],[GOU 21/22]]+PAProjects[[#This Row],[DONOR 21/22]]</f>
        <v>12.293210999999999</v>
      </c>
      <c r="U47" s="107">
        <f>SUMIFS(MasterTable[FY1 (FY22-23)],MasterTable[[Project Code and Name ]],PAProjects5[[#This Row],[LINKING_CODE]],MasterTable[Funding Source],"GoU Funded")/10^9</f>
        <v>0</v>
      </c>
      <c r="V47" s="52">
        <f>SUMIFS(MasterTable[FY1 (FY22-23)],MasterTable[[Project Code and Name ]],PAProjects5[[#This Row],[LINKING_CODE]],MasterTable[Funding Source],"External Financing")/10^9</f>
        <v>0</v>
      </c>
      <c r="W47" s="49">
        <f>PAProjects[[#This Row],[GOU 22/23]]+PAProjects[[#This Row],[DONOR 22/23]]</f>
        <v>0</v>
      </c>
      <c r="X47" s="52">
        <f>SUMIFS(MasterTable[FY2 (FY23-24)],MasterTable[[Project Code and Name ]],PAProjects5[[#This Row],[LINKING_CODE]],MasterTable[Funding Source],"GoU Funded")/10^9</f>
        <v>0</v>
      </c>
      <c r="Y47" s="52">
        <f>SUMIFS(MasterTable[FY2 (FY23-24)],MasterTable[[Project Code and Name ]],PAProjects5[[#This Row],[LINKING_CODE]],MasterTable[Funding Source],"External Financing")/10^9</f>
        <v>0</v>
      </c>
      <c r="Z47" s="2">
        <f t="shared" si="2"/>
        <v>0</v>
      </c>
      <c r="AA47" s="52">
        <f>SUMIFS(MasterTable[FY3 (FY24-25)],MasterTable[[Project Code and Name ]],PAProjects5[[#This Row],[LINKING_CODE]],MasterTable[Funding Source],"GoU Funded")/10^9</f>
        <v>0</v>
      </c>
      <c r="AB47" s="52">
        <f>SUMIFS(MasterTable[FY3 (FY24-25)],MasterTable[[Project Code and Name ]],PAProjects5[[#This Row],[LINKING_CODE]],MasterTable[Funding Source],"External Financing")/10^9</f>
        <v>0</v>
      </c>
      <c r="AC47" s="49">
        <f>PAProjects[[#This Row],[GOU 24/25]]+PAProjects[[#This Row],[DONOR 24/25]]</f>
        <v>0</v>
      </c>
    </row>
    <row r="48" spans="1:29" ht="15" hidden="1" customHeight="1" x14ac:dyDescent="0.25">
      <c r="A48" s="21" t="s">
        <v>143</v>
      </c>
      <c r="B48" s="2" t="s">
        <v>55</v>
      </c>
      <c r="C48" s="2" t="e">
        <f ca="1">PAProjects5[[#This Row],[LINKING_CODE]]=_xlfn.CONCAT(PAProjects5[[#This Row],[Project Code]]," ",PAProjects5[[#This Row],[Project Name]])</f>
        <v>#NAME?</v>
      </c>
      <c r="D48" s="2" t="str">
        <f>VLOOKUP(PAProjects5[[#This Row],[LINKING_CODE]],MasterTable[[Project Code and Name ]],1,FALSE)</f>
        <v>1352 Midstream Petroleum Infrastructure Development Project</v>
      </c>
      <c r="E48" s="2" t="s">
        <v>513</v>
      </c>
      <c r="F48" s="2" t="s">
        <v>1089</v>
      </c>
      <c r="G48" s="2" t="s">
        <v>66</v>
      </c>
      <c r="H48" s="2" t="s">
        <v>1095</v>
      </c>
      <c r="I48" s="2" t="s">
        <v>1097</v>
      </c>
      <c r="J48" s="2" t="s">
        <v>1098</v>
      </c>
      <c r="K48" s="2" t="s">
        <v>1509</v>
      </c>
      <c r="L48" s="23">
        <v>42186</v>
      </c>
      <c r="M48" s="23">
        <v>44742</v>
      </c>
      <c r="N48" s="30">
        <v>570.96</v>
      </c>
      <c r="O48" s="20"/>
      <c r="P48" s="20">
        <f t="shared" si="0"/>
        <v>570.96</v>
      </c>
      <c r="Q48" s="53">
        <f>SUMIFS(MasterTable[Estimate of Arrears at end of the current FY 2020/21 (value)],MasterTable[[Project Code and Name ]],PAProjects5[[#This Row],[LINKING_CODE]],MasterTable[Funding Source],"GoU Funded")/10^9</f>
        <v>0</v>
      </c>
      <c r="R48" s="108">
        <f>SUMIFS(MasterTable[Arrears + All Contractual Commitments (value next FY)],MasterTable[[Project Code and Name ]],PAProjects5[[#This Row],[LINKING_CODE]],MasterTable[Funding Source],"GoU Funded")/10^9</f>
        <v>5.51</v>
      </c>
      <c r="S48" s="108">
        <f>SUMIFS(MasterTable[Arrears + All Contractual Commitments (value next FY)],MasterTable[[Project Code and Name ]],PAProjects5[[#This Row],[LINKING_CODE]],MasterTable[Funding Source],"External Financing")/10^9</f>
        <v>0</v>
      </c>
      <c r="T48" s="49">
        <f>PAProjects[[#This Row],[GOU 21/22]]+PAProjects[[#This Row],[DONOR 21/22]]</f>
        <v>5.51</v>
      </c>
      <c r="U48" s="107">
        <f>SUMIFS(MasterTable[FY1 (FY22-23)],MasterTable[[Project Code and Name ]],PAProjects5[[#This Row],[LINKING_CODE]],MasterTable[Funding Source],"GoU Funded")/10^9</f>
        <v>0</v>
      </c>
      <c r="V48" s="52">
        <f>SUMIFS(MasterTable[FY1 (FY22-23)],MasterTable[[Project Code and Name ]],PAProjects5[[#This Row],[LINKING_CODE]],MasterTable[Funding Source],"External Financing")/10^9</f>
        <v>0</v>
      </c>
      <c r="W48" s="49">
        <f>PAProjects[[#This Row],[GOU 22/23]]+PAProjects[[#This Row],[DONOR 22/23]]</f>
        <v>0</v>
      </c>
      <c r="X48" s="52">
        <f>SUMIFS(MasterTable[FY2 (FY23-24)],MasterTable[[Project Code and Name ]],PAProjects5[[#This Row],[LINKING_CODE]],MasterTable[Funding Source],"GoU Funded")/10^9</f>
        <v>0</v>
      </c>
      <c r="Y48" s="52">
        <f>SUMIFS(MasterTable[FY2 (FY23-24)],MasterTable[[Project Code and Name ]],PAProjects5[[#This Row],[LINKING_CODE]],MasterTable[Funding Source],"External Financing")/10^9</f>
        <v>0</v>
      </c>
      <c r="Z48" s="2">
        <f t="shared" si="2"/>
        <v>0</v>
      </c>
      <c r="AA48" s="52">
        <f>SUMIFS(MasterTable[FY3 (FY24-25)],MasterTable[[Project Code and Name ]],PAProjects5[[#This Row],[LINKING_CODE]],MasterTable[Funding Source],"GoU Funded")/10^9</f>
        <v>0</v>
      </c>
      <c r="AB48" s="52">
        <f>SUMIFS(MasterTable[FY3 (FY24-25)],MasterTable[[Project Code and Name ]],PAProjects5[[#This Row],[LINKING_CODE]],MasterTable[Funding Source],"External Financing")/10^9</f>
        <v>0</v>
      </c>
      <c r="AC48" s="49">
        <f>PAProjects[[#This Row],[GOU 24/25]]+PAProjects[[#This Row],[DONOR 24/25]]</f>
        <v>0</v>
      </c>
    </row>
    <row r="49" spans="1:29" ht="15" hidden="1" customHeight="1" x14ac:dyDescent="0.25">
      <c r="A49" s="21" t="s">
        <v>139</v>
      </c>
      <c r="B49" s="2" t="s">
        <v>61</v>
      </c>
      <c r="C49" s="2" t="e">
        <f ca="1">PAProjects5[[#This Row],[LINKING_CODE]]=_xlfn.CONCAT(PAProjects5[[#This Row],[Project Code]]," ",PAProjects5[[#This Row],[Project Name]])</f>
        <v>#NAME?</v>
      </c>
      <c r="D49" s="2" t="str">
        <f>VLOOKUP(PAProjects5[[#This Row],[LINKING_CODE]],MasterTable[[Project Code and Name ]],1,FALSE)</f>
        <v>1353 Mineral Wealth and Mining Infrastructure Development</v>
      </c>
      <c r="E49" s="2" t="s">
        <v>513</v>
      </c>
      <c r="F49" s="2" t="s">
        <v>1089</v>
      </c>
      <c r="G49" s="2" t="s">
        <v>66</v>
      </c>
      <c r="H49" s="2" t="s">
        <v>1093</v>
      </c>
      <c r="I49" s="2" t="s">
        <v>1090</v>
      </c>
      <c r="J49" s="2" t="s">
        <v>1091</v>
      </c>
      <c r="K49" s="2" t="s">
        <v>1509</v>
      </c>
      <c r="L49" s="23">
        <v>42186</v>
      </c>
      <c r="M49" s="23">
        <v>44742</v>
      </c>
      <c r="N49" s="24">
        <v>41.317999999999998</v>
      </c>
      <c r="O49" s="20"/>
      <c r="P49" s="20">
        <f t="shared" si="0"/>
        <v>41.317999999999998</v>
      </c>
      <c r="Q49" s="53">
        <f>SUMIFS(MasterTable[Estimate of Arrears at end of the current FY 2020/21 (value)],MasterTable[[Project Code and Name ]],PAProjects5[[#This Row],[LINKING_CODE]],MasterTable[Funding Source],"GoU Funded")/10^9</f>
        <v>0</v>
      </c>
      <c r="R49" s="108">
        <f>SUMIFS(MasterTable[Arrears + All Contractual Commitments (value next FY)],MasterTable[[Project Code and Name ]],PAProjects5[[#This Row],[LINKING_CODE]],MasterTable[Funding Source],"GoU Funded")/10^9</f>
        <v>13.354378000000001</v>
      </c>
      <c r="S49" s="108">
        <f>SUMIFS(MasterTable[Arrears + All Contractual Commitments (value next FY)],MasterTable[[Project Code and Name ]],PAProjects5[[#This Row],[LINKING_CODE]],MasterTable[Funding Source],"External Financing")/10^9</f>
        <v>0</v>
      </c>
      <c r="T49" s="49">
        <f>PAProjects[[#This Row],[GOU 21/22]]+PAProjects[[#This Row],[DONOR 21/22]]</f>
        <v>13.354378000000001</v>
      </c>
      <c r="U49" s="107">
        <f>SUMIFS(MasterTable[FY1 (FY22-23)],MasterTable[[Project Code and Name ]],PAProjects5[[#This Row],[LINKING_CODE]],MasterTable[Funding Source],"GoU Funded")/10^9</f>
        <v>0</v>
      </c>
      <c r="V49" s="52">
        <f>SUMIFS(MasterTable[FY1 (FY22-23)],MasterTable[[Project Code and Name ]],PAProjects5[[#This Row],[LINKING_CODE]],MasterTable[Funding Source],"External Financing")/10^9</f>
        <v>0</v>
      </c>
      <c r="W49" s="49">
        <f>PAProjects[[#This Row],[GOU 22/23]]+PAProjects[[#This Row],[DONOR 22/23]]</f>
        <v>0</v>
      </c>
      <c r="X49" s="52">
        <f>SUMIFS(MasterTable[FY2 (FY23-24)],MasterTable[[Project Code and Name ]],PAProjects5[[#This Row],[LINKING_CODE]],MasterTable[Funding Source],"GoU Funded")/10^9</f>
        <v>0</v>
      </c>
      <c r="Y49" s="52">
        <f>SUMIFS(MasterTable[FY2 (FY23-24)],MasterTable[[Project Code and Name ]],PAProjects5[[#This Row],[LINKING_CODE]],MasterTable[Funding Source],"External Financing")/10^9</f>
        <v>0</v>
      </c>
      <c r="Z49" s="2">
        <f t="shared" si="2"/>
        <v>0</v>
      </c>
      <c r="AA49" s="52">
        <f>SUMIFS(MasterTable[FY3 (FY24-25)],MasterTable[[Project Code and Name ]],PAProjects5[[#This Row],[LINKING_CODE]],MasterTable[Funding Source],"GoU Funded")/10^9</f>
        <v>0</v>
      </c>
      <c r="AB49" s="52">
        <f>SUMIFS(MasterTable[FY3 (FY24-25)],MasterTable[[Project Code and Name ]],PAProjects5[[#This Row],[LINKING_CODE]],MasterTable[Funding Source],"External Financing")/10^9</f>
        <v>0</v>
      </c>
      <c r="AC49" s="49">
        <f>PAProjects[[#This Row],[GOU 24/25]]+PAProjects[[#This Row],[DONOR 24/25]]</f>
        <v>0</v>
      </c>
    </row>
    <row r="50" spans="1:29" ht="15" hidden="1" customHeight="1" x14ac:dyDescent="0.25">
      <c r="A50" s="21" t="s">
        <v>144</v>
      </c>
      <c r="B50" s="2" t="s">
        <v>56</v>
      </c>
      <c r="C50" s="2" t="e">
        <f ca="1">PAProjects5[[#This Row],[LINKING_CODE]]=_xlfn.CONCAT(PAProjects5[[#This Row],[Project Code]]," ",PAProjects5[[#This Row],[Project Name]])</f>
        <v>#NAME?</v>
      </c>
      <c r="D50" s="2" t="str">
        <f>VLOOKUP(PAProjects5[[#This Row],[LINKING_CODE]],MasterTable[[Project Code and Name ]],1,FALSE)</f>
        <v>1355 Strengthening the Development and Production Phases of Oil and Gas Sector</v>
      </c>
      <c r="E50" s="2" t="s">
        <v>513</v>
      </c>
      <c r="F50" s="2" t="s">
        <v>1089</v>
      </c>
      <c r="G50" s="2" t="s">
        <v>66</v>
      </c>
      <c r="H50" s="2" t="s">
        <v>1095</v>
      </c>
      <c r="I50" s="2" t="s">
        <v>1099</v>
      </c>
      <c r="J50" s="2" t="s">
        <v>559</v>
      </c>
      <c r="K50" s="2" t="s">
        <v>1509</v>
      </c>
      <c r="L50" s="23">
        <v>42186</v>
      </c>
      <c r="M50" s="23">
        <v>44742</v>
      </c>
      <c r="N50" s="30">
        <v>115.10899999999999</v>
      </c>
      <c r="O50" s="31">
        <v>22.667999999999999</v>
      </c>
      <c r="P50" s="20">
        <f t="shared" si="0"/>
        <v>137.77699999999999</v>
      </c>
      <c r="Q50" s="53">
        <f>SUMIFS(MasterTable[Estimate of Arrears at end of the current FY 2020/21 (value)],MasterTable[[Project Code and Name ]],PAProjects5[[#This Row],[LINKING_CODE]],MasterTable[Funding Source],"GoU Funded")/10^9</f>
        <v>0</v>
      </c>
      <c r="R50" s="108">
        <f>SUMIFS(MasterTable[Arrears + All Contractual Commitments (value next FY)],MasterTable[[Project Code and Name ]],PAProjects5[[#This Row],[LINKING_CODE]],MasterTable[Funding Source],"GoU Funded")/10^9</f>
        <v>8.5299999999999994</v>
      </c>
      <c r="S50" s="108">
        <f>SUMIFS(MasterTable[Arrears + All Contractual Commitments (value next FY)],MasterTable[[Project Code and Name ]],PAProjects5[[#This Row],[LINKING_CODE]],MasterTable[Funding Source],"External Financing")/10^9</f>
        <v>0</v>
      </c>
      <c r="T50" s="49">
        <f>PAProjects[[#This Row],[GOU 21/22]]+PAProjects[[#This Row],[DONOR 21/22]]</f>
        <v>8.5299999999999994</v>
      </c>
      <c r="U50" s="107">
        <f>SUMIFS(MasterTable[FY1 (FY22-23)],MasterTable[[Project Code and Name ]],PAProjects5[[#This Row],[LINKING_CODE]],MasterTable[Funding Source],"GoU Funded")/10^9</f>
        <v>0</v>
      </c>
      <c r="V50" s="52">
        <f>SUMIFS(MasterTable[FY1 (FY22-23)],MasterTable[[Project Code and Name ]],PAProjects5[[#This Row],[LINKING_CODE]],MasterTable[Funding Source],"External Financing")/10^9</f>
        <v>0</v>
      </c>
      <c r="W50" s="49">
        <f>PAProjects[[#This Row],[GOU 22/23]]+PAProjects[[#This Row],[DONOR 22/23]]</f>
        <v>0</v>
      </c>
      <c r="X50" s="52">
        <f>SUMIFS(MasterTable[FY2 (FY23-24)],MasterTable[[Project Code and Name ]],PAProjects5[[#This Row],[LINKING_CODE]],MasterTable[Funding Source],"GoU Funded")/10^9</f>
        <v>0</v>
      </c>
      <c r="Y50" s="52">
        <f>SUMIFS(MasterTable[FY2 (FY23-24)],MasterTable[[Project Code and Name ]],PAProjects5[[#This Row],[LINKING_CODE]],MasterTable[Funding Source],"External Financing")/10^9</f>
        <v>0</v>
      </c>
      <c r="Z50" s="2">
        <f t="shared" si="2"/>
        <v>0</v>
      </c>
      <c r="AA50" s="52">
        <f>SUMIFS(MasterTable[FY3 (FY24-25)],MasterTable[[Project Code and Name ]],PAProjects5[[#This Row],[LINKING_CODE]],MasterTable[Funding Source],"GoU Funded")/10^9</f>
        <v>0</v>
      </c>
      <c r="AB50" s="52">
        <f>SUMIFS(MasterTable[FY3 (FY24-25)],MasterTable[[Project Code and Name ]],PAProjects5[[#This Row],[LINKING_CODE]],MasterTable[Funding Source],"External Financing")/10^9</f>
        <v>0</v>
      </c>
      <c r="AC50" s="49">
        <f>PAProjects[[#This Row],[GOU 24/25]]+PAProjects[[#This Row],[DONOR 24/25]]</f>
        <v>0</v>
      </c>
    </row>
    <row r="51" spans="1:29" ht="15" hidden="1" customHeight="1" x14ac:dyDescent="0.25">
      <c r="A51" s="21" t="s">
        <v>548</v>
      </c>
      <c r="B51" s="2" t="s">
        <v>484</v>
      </c>
      <c r="C51" s="2" t="e">
        <f ca="1">PAProjects5[[#This Row],[LINKING_CODE]]=_xlfn.CONCAT(PAProjects5[[#This Row],[Project Code]]," ",PAProjects5[[#This Row],[Project Name]])</f>
        <v>#NAME?</v>
      </c>
      <c r="D51" s="2" t="str">
        <f>VLOOKUP(PAProjects5[[#This Row],[LINKING_CODE]],MasterTable[[Project Code and Name ]],1,FALSE)</f>
        <v>1360 Markets and Agricultural Trade Improvements Programme (MATIP 2)</v>
      </c>
      <c r="E51" s="2" t="s">
        <v>540</v>
      </c>
      <c r="F51" s="2" t="s">
        <v>931</v>
      </c>
      <c r="G51" s="2" t="s">
        <v>932</v>
      </c>
      <c r="H51" s="2" t="s">
        <v>928</v>
      </c>
      <c r="I51" s="2" t="s">
        <v>874</v>
      </c>
      <c r="J51" s="2" t="s">
        <v>933</v>
      </c>
      <c r="K51" s="2" t="s">
        <v>1509</v>
      </c>
      <c r="L51" s="23">
        <v>42186</v>
      </c>
      <c r="M51" s="23">
        <v>44742</v>
      </c>
      <c r="N51" s="24">
        <v>328.05500000000001</v>
      </c>
      <c r="O51" s="20"/>
      <c r="P51" s="20">
        <f t="shared" si="0"/>
        <v>328.05500000000001</v>
      </c>
      <c r="Q51" s="53">
        <f>SUMIFS(MasterTable[Estimate of Arrears at end of the current FY 2020/21 (value)],MasterTable[[Project Code and Name ]],PAProjects5[[#This Row],[LINKING_CODE]],MasterTable[Funding Source],"GoU Funded")/10^9</f>
        <v>0</v>
      </c>
      <c r="R51" s="108">
        <f>SUMIFS(MasterTable[Arrears + All Contractual Commitments (value next FY)],MasterTable[[Project Code and Name ]],PAProjects5[[#This Row],[LINKING_CODE]],MasterTable[Funding Source],"GoU Funded")/10^9</f>
        <v>2.2000000000000002</v>
      </c>
      <c r="S51" s="108">
        <f>SUMIFS(MasterTable[Arrears + All Contractual Commitments (value next FY)],MasterTable[[Project Code and Name ]],PAProjects5[[#This Row],[LINKING_CODE]],MasterTable[Funding Source],"External Financing")/10^9</f>
        <v>68.400000000000006</v>
      </c>
      <c r="T51" s="29">
        <f>PAProjects[[#This Row],[GOU 21/22]]+PAProjects[[#This Row],[DONOR 21/22]]</f>
        <v>70.600000000000009</v>
      </c>
      <c r="U51" s="107">
        <f>SUMIFS(MasterTable[FY1 (FY22-23)],MasterTable[[Project Code and Name ]],PAProjects5[[#This Row],[LINKING_CODE]],MasterTable[Funding Source],"GoU Funded")/10^9</f>
        <v>0</v>
      </c>
      <c r="V51" s="52">
        <f>SUMIFS(MasterTable[FY1 (FY22-23)],MasterTable[[Project Code and Name ]],PAProjects5[[#This Row],[LINKING_CODE]],MasterTable[Funding Source],"External Financing")/10^9</f>
        <v>0</v>
      </c>
      <c r="W51" s="49">
        <f>PAProjects[[#This Row],[GOU 22/23]]+PAProjects[[#This Row],[DONOR 22/23]]</f>
        <v>0</v>
      </c>
      <c r="X51" s="52">
        <f>SUMIFS(MasterTable[FY2 (FY23-24)],MasterTable[[Project Code and Name ]],PAProjects5[[#This Row],[LINKING_CODE]],MasterTable[Funding Source],"GoU Funded")/10^9</f>
        <v>0</v>
      </c>
      <c r="Y51" s="52">
        <f>SUMIFS(MasterTable[FY2 (FY23-24)],MasterTable[[Project Code and Name ]],PAProjects5[[#This Row],[LINKING_CODE]],MasterTable[Funding Source],"External Financing")/10^9</f>
        <v>0</v>
      </c>
      <c r="Z51" s="2"/>
      <c r="AA51" s="52">
        <f>SUMIFS(MasterTable[FY3 (FY24-25)],MasterTable[[Project Code and Name ]],PAProjects5[[#This Row],[LINKING_CODE]],MasterTable[Funding Source],"GoU Funded")/10^9</f>
        <v>0</v>
      </c>
      <c r="AB51" s="52">
        <f>SUMIFS(MasterTable[FY3 (FY24-25)],MasterTable[[Project Code and Name ]],PAProjects5[[#This Row],[LINKING_CODE]],MasterTable[Funding Source],"External Financing")/10^9</f>
        <v>0</v>
      </c>
      <c r="AC51" s="49">
        <f>PAProjects[[#This Row],[GOU 24/25]]+PAProjects[[#This Row],[DONOR 24/25]]</f>
        <v>0</v>
      </c>
    </row>
    <row r="52" spans="1:29" ht="15" hidden="1" customHeight="1" x14ac:dyDescent="0.25">
      <c r="A52" s="21" t="s">
        <v>1008</v>
      </c>
      <c r="B52" s="2" t="s">
        <v>426</v>
      </c>
      <c r="C52" s="2" t="e">
        <f ca="1">PAProjects5[[#This Row],[LINKING_CODE]]=_xlfn.CONCAT(PAProjects5[[#This Row],[Project Code]]," ",PAProjects5[[#This Row],[Project Name]])</f>
        <v>#NAME?</v>
      </c>
      <c r="D52" s="2" t="str">
        <f>VLOOKUP(PAProjects5[[#This Row],[LINKING_CODE]],MasterTable[[Project Code and Name ]],1,FALSE)</f>
        <v>1373 Entebbe Airport Rehabilitation Phase 1</v>
      </c>
      <c r="E52" s="2" t="s">
        <v>515</v>
      </c>
      <c r="F52" s="2" t="s">
        <v>944</v>
      </c>
      <c r="G52" s="2" t="s">
        <v>99</v>
      </c>
      <c r="H52" s="2" t="s">
        <v>1007</v>
      </c>
      <c r="I52" s="2" t="s">
        <v>1009</v>
      </c>
      <c r="J52" s="2" t="s">
        <v>1010</v>
      </c>
      <c r="K52" s="2" t="s">
        <v>1509</v>
      </c>
      <c r="L52" s="26">
        <v>41456</v>
      </c>
      <c r="M52" s="23">
        <v>44742</v>
      </c>
      <c r="N52" s="24"/>
      <c r="O52" s="25">
        <v>750</v>
      </c>
      <c r="P52" s="20">
        <f t="shared" si="0"/>
        <v>750</v>
      </c>
      <c r="Q52" s="53">
        <f>SUMIFS(MasterTable[Estimate of Arrears at end of the current FY 2020/21 (value)],MasterTable[[Project Code and Name ]],PAProjects5[[#This Row],[LINKING_CODE]],MasterTable[Funding Source],"GoU Funded")/10^9</f>
        <v>0</v>
      </c>
      <c r="R52" s="108">
        <f>SUMIFS(MasterTable[Arrears + All Contractual Commitments (value next FY)],MasterTable[[Project Code and Name ]],PAProjects5[[#This Row],[LINKING_CODE]],MasterTable[Funding Source],"GoU Funded")/10^9</f>
        <v>0</v>
      </c>
      <c r="S52" s="108">
        <f>SUMIFS(MasterTable[Arrears + All Contractual Commitments (value next FY)],MasterTable[[Project Code and Name ]],PAProjects5[[#This Row],[LINKING_CODE]],MasterTable[Funding Source],"External Financing")/10^9</f>
        <v>117.943</v>
      </c>
      <c r="T52" s="49">
        <f>PAProjects[[#This Row],[GOU 21/22]]+PAProjects[[#This Row],[DONOR 21/22]]</f>
        <v>117.943</v>
      </c>
      <c r="U52" s="107">
        <f>SUMIFS(MasterTable[FY1 (FY22-23)],MasterTable[[Project Code and Name ]],PAProjects5[[#This Row],[LINKING_CODE]],MasterTable[Funding Source],"GoU Funded")/10^9</f>
        <v>0</v>
      </c>
      <c r="V52" s="52">
        <f>SUMIFS(MasterTable[FY1 (FY22-23)],MasterTable[[Project Code and Name ]],PAProjects5[[#This Row],[LINKING_CODE]],MasterTable[Funding Source],"External Financing")/10^9</f>
        <v>0</v>
      </c>
      <c r="W52" s="49">
        <f>PAProjects[[#This Row],[GOU 22/23]]+PAProjects[[#This Row],[DONOR 22/23]]</f>
        <v>0</v>
      </c>
      <c r="X52" s="52">
        <f>SUMIFS(MasterTable[FY2 (FY23-24)],MasterTable[[Project Code and Name ]],PAProjects5[[#This Row],[LINKING_CODE]],MasterTable[Funding Source],"GoU Funded")/10^9</f>
        <v>0</v>
      </c>
      <c r="Y52" s="52">
        <f>SUMIFS(MasterTable[FY2 (FY23-24)],MasterTable[[Project Code and Name ]],PAProjects5[[#This Row],[LINKING_CODE]],MasterTable[Funding Source],"External Financing")/10^9</f>
        <v>0</v>
      </c>
      <c r="Z52" s="2">
        <f>X52+Y52</f>
        <v>0</v>
      </c>
      <c r="AA52" s="52">
        <f>SUMIFS(MasterTable[FY3 (FY24-25)],MasterTable[[Project Code and Name ]],PAProjects5[[#This Row],[LINKING_CODE]],MasterTable[Funding Source],"GoU Funded")/10^9</f>
        <v>0</v>
      </c>
      <c r="AB52" s="52">
        <f>SUMIFS(MasterTable[FY3 (FY24-25)],MasterTable[[Project Code and Name ]],PAProjects5[[#This Row],[LINKING_CODE]],MasterTable[Funding Source],"External Financing")/10^9</f>
        <v>0</v>
      </c>
      <c r="AC52" s="49">
        <f>PAProjects[[#This Row],[GOU 24/25]]+PAProjects[[#This Row],[DONOR 24/25]]</f>
        <v>0</v>
      </c>
    </row>
    <row r="53" spans="1:29" ht="15" hidden="1" customHeight="1" x14ac:dyDescent="0.25">
      <c r="A53" s="21" t="s">
        <v>575</v>
      </c>
      <c r="B53" s="2" t="s">
        <v>485</v>
      </c>
      <c r="C53" s="2" t="e">
        <f ca="1">PAProjects5[[#This Row],[LINKING_CODE]]=_xlfn.CONCAT(PAProjects5[[#This Row],[Project Code]]," ",PAProjects5[[#This Row],[Project Name]])</f>
        <v>#NAME?</v>
      </c>
      <c r="D53" s="2" t="str">
        <f>VLOOKUP(PAProjects5[[#This Row],[LINKING_CODE]],MasterTable[[Project Code and Name ]],1,FALSE)</f>
        <v>1381 Restoration of Livelihoods in Northern Region (PRELNOR)</v>
      </c>
      <c r="E53" s="2" t="s">
        <v>540</v>
      </c>
      <c r="F53" s="2" t="s">
        <v>931</v>
      </c>
      <c r="G53" s="2" t="s">
        <v>932</v>
      </c>
      <c r="H53" s="2" t="s">
        <v>936</v>
      </c>
      <c r="I53" s="2" t="s">
        <v>875</v>
      </c>
      <c r="J53" s="2" t="s">
        <v>876</v>
      </c>
      <c r="K53" s="2" t="s">
        <v>1509</v>
      </c>
      <c r="L53" s="23">
        <v>42186</v>
      </c>
      <c r="M53" s="23">
        <v>44742</v>
      </c>
      <c r="N53" s="24">
        <v>248.15</v>
      </c>
      <c r="O53" s="20"/>
      <c r="P53" s="20">
        <f t="shared" si="0"/>
        <v>248.15</v>
      </c>
      <c r="Q53" s="53">
        <f>SUMIFS(MasterTable[Estimate of Arrears at end of the current FY 2020/21 (value)],MasterTable[[Project Code and Name ]],PAProjects5[[#This Row],[LINKING_CODE]],MasterTable[Funding Source],"GoU Funded")/10^9</f>
        <v>0</v>
      </c>
      <c r="R53" s="108">
        <f>SUMIFS(MasterTable[Arrears + All Contractual Commitments (value next FY)],MasterTable[[Project Code and Name ]],PAProjects5[[#This Row],[LINKING_CODE]],MasterTable[Funding Source],"GoU Funded")/10^9</f>
        <v>13.409927981999999</v>
      </c>
      <c r="S53" s="108">
        <f>SUMIFS(MasterTable[Arrears + All Contractual Commitments (value next FY)],MasterTable[[Project Code and Name ]],PAProjects5[[#This Row],[LINKING_CODE]],MasterTable[Funding Source],"External Financing")/10^9</f>
        <v>37.9653226</v>
      </c>
      <c r="T53" s="29">
        <f>PAProjects[[#This Row],[GOU 21/22]]+PAProjects[[#This Row],[DONOR 21/22]]</f>
        <v>51.375250582</v>
      </c>
      <c r="U53" s="107">
        <f>SUMIFS(MasterTable[FY1 (FY22-23)],MasterTable[[Project Code and Name ]],PAProjects5[[#This Row],[LINKING_CODE]],MasterTable[Funding Source],"GoU Funded")/10^9</f>
        <v>0</v>
      </c>
      <c r="V53" s="52">
        <f>SUMIFS(MasterTable[FY1 (FY22-23)],MasterTable[[Project Code and Name ]],PAProjects5[[#This Row],[LINKING_CODE]],MasterTable[Funding Source],"External Financing")/10^9</f>
        <v>0</v>
      </c>
      <c r="W53" s="49">
        <f>PAProjects[[#This Row],[GOU 22/23]]+PAProjects[[#This Row],[DONOR 22/23]]</f>
        <v>0</v>
      </c>
      <c r="X53" s="52">
        <f>SUMIFS(MasterTable[FY2 (FY23-24)],MasterTable[[Project Code and Name ]],PAProjects5[[#This Row],[LINKING_CODE]],MasterTable[Funding Source],"GoU Funded")/10^9</f>
        <v>0</v>
      </c>
      <c r="Y53" s="52">
        <f>SUMIFS(MasterTable[FY2 (FY23-24)],MasterTable[[Project Code and Name ]],PAProjects5[[#This Row],[LINKING_CODE]],MasterTable[Funding Source],"External Financing")/10^9</f>
        <v>0</v>
      </c>
      <c r="Z53" s="2"/>
      <c r="AA53" s="52">
        <f>SUMIFS(MasterTable[FY3 (FY24-25)],MasterTable[[Project Code and Name ]],PAProjects5[[#This Row],[LINKING_CODE]],MasterTable[Funding Source],"GoU Funded")/10^9</f>
        <v>0</v>
      </c>
      <c r="AB53" s="52">
        <f>SUMIFS(MasterTable[FY3 (FY24-25)],MasterTable[[Project Code and Name ]],PAProjects5[[#This Row],[LINKING_CODE]],MasterTable[Funding Source],"External Financing")/10^9</f>
        <v>0</v>
      </c>
      <c r="AC53" s="49">
        <f>PAProjects[[#This Row],[GOU 24/25]]+PAProjects[[#This Row],[DONOR 24/25]]</f>
        <v>0</v>
      </c>
    </row>
    <row r="54" spans="1:29" ht="15" hidden="1" customHeight="1" x14ac:dyDescent="0.25">
      <c r="A54" s="21" t="s">
        <v>278</v>
      </c>
      <c r="B54" s="2" t="s">
        <v>44</v>
      </c>
      <c r="C54" s="2" t="e">
        <f ca="1">PAProjects5[[#This Row],[LINKING_CODE]]=_xlfn.CONCAT(PAProjects5[[#This Row],[Project Code]]," ",PAProjects5[[#This Row],[Project Name]])</f>
        <v>#NAME?</v>
      </c>
      <c r="D54" s="2" t="str">
        <f>VLOOKUP(PAProjects5[[#This Row],[LINKING_CODE]],MasterTable[[Project Code and Name ]],1,FALSE)</f>
        <v>1388 Mbale-Bulambuli (Atari) 132KV transmission line and Associated Substation</v>
      </c>
      <c r="E54" s="2" t="s">
        <v>513</v>
      </c>
      <c r="F54" s="2" t="s">
        <v>1089</v>
      </c>
      <c r="G54" s="2" t="s">
        <v>66</v>
      </c>
      <c r="H54" s="2" t="s">
        <v>1251</v>
      </c>
      <c r="I54" s="2" t="s">
        <v>1248</v>
      </c>
      <c r="J54" s="2" t="s">
        <v>1249</v>
      </c>
      <c r="K54" s="2" t="s">
        <v>1509</v>
      </c>
      <c r="L54" s="23">
        <v>42552</v>
      </c>
      <c r="M54" s="23">
        <v>44742</v>
      </c>
      <c r="N54" s="30">
        <v>17.334</v>
      </c>
      <c r="O54" s="20"/>
      <c r="P54" s="20">
        <f t="shared" si="0"/>
        <v>17.334</v>
      </c>
      <c r="Q54" s="53">
        <f>SUMIFS(MasterTable[Estimate of Arrears at end of the current FY 2020/21 (value)],MasterTable[[Project Code and Name ]],PAProjects5[[#This Row],[LINKING_CODE]],MasterTable[Funding Source],"GoU Funded")/10^9</f>
        <v>0</v>
      </c>
      <c r="R54" s="108">
        <f>SUMIFS(MasterTable[Arrears + All Contractual Commitments (value next FY)],MasterTable[[Project Code and Name ]],PAProjects5[[#This Row],[LINKING_CODE]],MasterTable[Funding Source],"GoU Funded")/10^9</f>
        <v>5.34</v>
      </c>
      <c r="S54" s="108">
        <f>SUMIFS(MasterTable[Arrears + All Contractual Commitments (value next FY)],MasterTable[[Project Code and Name ]],PAProjects5[[#This Row],[LINKING_CODE]],MasterTable[Funding Source],"External Financing")/10^9</f>
        <v>7.69</v>
      </c>
      <c r="T54" s="39">
        <f>PAProjects[[#This Row],[GOU 21/22]]+PAProjects[[#This Row],[DONOR 21/22]]</f>
        <v>13.030000000000001</v>
      </c>
      <c r="U54" s="107">
        <f>SUMIFS(MasterTable[FY1 (FY22-23)],MasterTable[[Project Code and Name ]],PAProjects5[[#This Row],[LINKING_CODE]],MasterTable[Funding Source],"GoU Funded")/10^9</f>
        <v>0</v>
      </c>
      <c r="V54" s="52">
        <f>SUMIFS(MasterTable[FY1 (FY22-23)],MasterTable[[Project Code and Name ]],PAProjects5[[#This Row],[LINKING_CODE]],MasterTable[Funding Source],"External Financing")/10^9</f>
        <v>0</v>
      </c>
      <c r="W54" s="49">
        <f>PAProjects[[#This Row],[GOU 22/23]]+PAProjects[[#This Row],[DONOR 22/23]]</f>
        <v>0</v>
      </c>
      <c r="X54" s="52">
        <f>SUMIFS(MasterTable[FY2 (FY23-24)],MasterTable[[Project Code and Name ]],PAProjects5[[#This Row],[LINKING_CODE]],MasterTable[Funding Source],"GoU Funded")/10^9</f>
        <v>0</v>
      </c>
      <c r="Y54" s="52">
        <f>SUMIFS(MasterTable[FY2 (FY23-24)],MasterTable[[Project Code and Name ]],PAProjects5[[#This Row],[LINKING_CODE]],MasterTable[Funding Source],"External Financing")/10^9</f>
        <v>0</v>
      </c>
      <c r="Z54" s="2">
        <f t="shared" ref="Z54:Z71" si="3">X54+Y54</f>
        <v>0</v>
      </c>
      <c r="AA54" s="52">
        <f>SUMIFS(MasterTable[FY3 (FY24-25)],MasterTable[[Project Code and Name ]],PAProjects5[[#This Row],[LINKING_CODE]],MasterTable[Funding Source],"GoU Funded")/10^9</f>
        <v>0</v>
      </c>
      <c r="AB54" s="52">
        <f>SUMIFS(MasterTable[FY3 (FY24-25)],MasterTable[[Project Code and Name ]],PAProjects5[[#This Row],[LINKING_CODE]],MasterTable[Funding Source],"External Financing")/10^9</f>
        <v>0</v>
      </c>
      <c r="AC54" s="49">
        <f>PAProjects[[#This Row],[GOU 24/25]]+PAProjects[[#This Row],[DONOR 24/25]]</f>
        <v>0</v>
      </c>
    </row>
    <row r="55" spans="1:29" ht="15" hidden="1" customHeight="1" x14ac:dyDescent="0.25">
      <c r="A55" s="21" t="s">
        <v>279</v>
      </c>
      <c r="B55" s="2" t="s">
        <v>45</v>
      </c>
      <c r="C55" s="2" t="e">
        <f ca="1">PAProjects5[[#This Row],[LINKING_CODE]]=_xlfn.CONCAT(PAProjects5[[#This Row],[Project Code]]," ",PAProjects5[[#This Row],[Project Name]])</f>
        <v>#NAME?</v>
      </c>
      <c r="D55" s="2" t="str">
        <f>VLOOKUP(PAProjects5[[#This Row],[LINKING_CODE]],MasterTable[[Project Code and Name ]],1,FALSE)</f>
        <v>1391 Lira-Gulu-Agago 132KV transmission project</v>
      </c>
      <c r="E55" s="2" t="s">
        <v>513</v>
      </c>
      <c r="F55" s="2" t="s">
        <v>1089</v>
      </c>
      <c r="G55" s="2" t="s">
        <v>66</v>
      </c>
      <c r="H55" s="2" t="s">
        <v>1251</v>
      </c>
      <c r="I55" s="2" t="s">
        <v>1250</v>
      </c>
      <c r="J55" s="2" t="s">
        <v>567</v>
      </c>
      <c r="K55" s="2" t="s">
        <v>1509</v>
      </c>
      <c r="L55" s="23">
        <v>42552</v>
      </c>
      <c r="M55" s="23">
        <v>44742</v>
      </c>
      <c r="N55" s="30">
        <v>66</v>
      </c>
      <c r="O55" s="20"/>
      <c r="P55" s="20">
        <f t="shared" si="0"/>
        <v>66</v>
      </c>
      <c r="Q55" s="53">
        <f>SUMIFS(MasterTable[Estimate of Arrears at end of the current FY 2020/21 (value)],MasterTable[[Project Code and Name ]],PAProjects5[[#This Row],[LINKING_CODE]],MasterTable[Funding Source],"GoU Funded")/10^9</f>
        <v>0</v>
      </c>
      <c r="R55" s="108">
        <f>SUMIFS(MasterTable[Arrears + All Contractual Commitments (value next FY)],MasterTable[[Project Code and Name ]],PAProjects5[[#This Row],[LINKING_CODE]],MasterTable[Funding Source],"GoU Funded")/10^9</f>
        <v>16.68</v>
      </c>
      <c r="S55" s="108">
        <f>SUMIFS(MasterTable[Arrears + All Contractual Commitments (value next FY)],MasterTable[[Project Code and Name ]],PAProjects5[[#This Row],[LINKING_CODE]],MasterTable[Funding Source],"External Financing")/10^9</f>
        <v>15.39</v>
      </c>
      <c r="T55" s="49">
        <f>PAProjects[[#This Row],[GOU 21/22]]+PAProjects[[#This Row],[DONOR 21/22]]</f>
        <v>32.07</v>
      </c>
      <c r="U55" s="107">
        <f>SUMIFS(MasterTable[FY1 (FY22-23)],MasterTable[[Project Code and Name ]],PAProjects5[[#This Row],[LINKING_CODE]],MasterTable[Funding Source],"GoU Funded")/10^9</f>
        <v>0</v>
      </c>
      <c r="V55" s="52">
        <f>SUMIFS(MasterTable[FY1 (FY22-23)],MasterTable[[Project Code and Name ]],PAProjects5[[#This Row],[LINKING_CODE]],MasterTable[Funding Source],"External Financing")/10^9</f>
        <v>0</v>
      </c>
      <c r="W55" s="49">
        <f>PAProjects[[#This Row],[GOU 22/23]]+PAProjects[[#This Row],[DONOR 22/23]]</f>
        <v>0</v>
      </c>
      <c r="X55" s="52">
        <f>SUMIFS(MasterTable[FY2 (FY23-24)],MasterTable[[Project Code and Name ]],PAProjects5[[#This Row],[LINKING_CODE]],MasterTable[Funding Source],"GoU Funded")/10^9</f>
        <v>0</v>
      </c>
      <c r="Y55" s="52">
        <f>SUMIFS(MasterTable[FY2 (FY23-24)],MasterTable[[Project Code and Name ]],PAProjects5[[#This Row],[LINKING_CODE]],MasterTable[Funding Source],"External Financing")/10^9</f>
        <v>0</v>
      </c>
      <c r="Z55" s="2">
        <f t="shared" si="3"/>
        <v>0</v>
      </c>
      <c r="AA55" s="52">
        <f>SUMIFS(MasterTable[FY3 (FY24-25)],MasterTable[[Project Code and Name ]],PAProjects5[[#This Row],[LINKING_CODE]],MasterTable[Funding Source],"GoU Funded")/10^9</f>
        <v>0</v>
      </c>
      <c r="AB55" s="52">
        <f>SUMIFS(MasterTable[FY3 (FY24-25)],MasterTable[[Project Code and Name ]],PAProjects5[[#This Row],[LINKING_CODE]],MasterTable[Funding Source],"External Financing")/10^9</f>
        <v>0</v>
      </c>
      <c r="AC55" s="49">
        <f>PAProjects[[#This Row],[GOU 24/25]]+PAProjects[[#This Row],[DONOR 24/25]]</f>
        <v>0</v>
      </c>
    </row>
    <row r="56" spans="1:29" ht="15" hidden="1" customHeight="1" x14ac:dyDescent="0.25">
      <c r="A56" s="21" t="s">
        <v>114</v>
      </c>
      <c r="B56" s="2" t="s">
        <v>404</v>
      </c>
      <c r="C56" s="2" t="e">
        <f ca="1">PAProjects5[[#This Row],[LINKING_CODE]]=_xlfn.CONCAT(PAProjects5[[#This Row],[Project Code]]," ",PAProjects5[[#This Row],[Project Name]])</f>
        <v>#NAME?</v>
      </c>
      <c r="D56" s="2" t="str">
        <f>VLOOKUP(PAProjects5[[#This Row],[LINKING_CODE]],MasterTable[[Project Code and Name ]],1,FALSE)</f>
        <v>1402 Rwenkunye- Apac- Lira-Acholibur road</v>
      </c>
      <c r="E56" s="2" t="s">
        <v>515</v>
      </c>
      <c r="F56" s="2" t="s">
        <v>944</v>
      </c>
      <c r="G56" s="2" t="s">
        <v>113</v>
      </c>
      <c r="H56" s="2" t="s">
        <v>1007</v>
      </c>
      <c r="I56" s="2" t="s">
        <v>1062</v>
      </c>
      <c r="J56" s="2" t="s">
        <v>1063</v>
      </c>
      <c r="K56" s="2" t="s">
        <v>1509</v>
      </c>
      <c r="L56" s="26">
        <v>42552</v>
      </c>
      <c r="M56" s="23">
        <v>45838</v>
      </c>
      <c r="N56" s="24">
        <v>113.898</v>
      </c>
      <c r="O56" s="25">
        <v>542.68299999999999</v>
      </c>
      <c r="P56" s="20">
        <f t="shared" si="0"/>
        <v>656.58100000000002</v>
      </c>
      <c r="Q56" s="53">
        <f>SUMIFS(MasterTable[Estimate of Arrears at end of the current FY 2020/21 (value)],MasterTable[[Project Code and Name ]],PAProjects5[[#This Row],[LINKING_CODE]],MasterTable[Funding Source],"GoU Funded")/10^9</f>
        <v>0</v>
      </c>
      <c r="R56" s="108">
        <f>SUMIFS(MasterTable[Arrears + All Contractual Commitments (value next FY)],MasterTable[[Project Code and Name ]],PAProjects5[[#This Row],[LINKING_CODE]],MasterTable[Funding Source],"GoU Funded")/10^9</f>
        <v>0.25</v>
      </c>
      <c r="S56" s="108">
        <f>SUMIFS(MasterTable[Arrears + All Contractual Commitments (value next FY)],MasterTable[[Project Code and Name ]],PAProjects5[[#This Row],[LINKING_CODE]],MasterTable[Funding Source],"External Financing")/10^9</f>
        <v>0</v>
      </c>
      <c r="T56" s="49">
        <f>PAProjects[[#This Row],[GOU 21/22]]+PAProjects[[#This Row],[DONOR 21/22]]</f>
        <v>0.25</v>
      </c>
      <c r="U56" s="107">
        <f>SUMIFS(MasterTable[FY1 (FY22-23)],MasterTable[[Project Code and Name ]],PAProjects5[[#This Row],[LINKING_CODE]],MasterTable[Funding Source],"GoU Funded")/10^9</f>
        <v>0</v>
      </c>
      <c r="V56" s="52">
        <f>SUMIFS(MasterTable[FY1 (FY22-23)],MasterTable[[Project Code and Name ]],PAProjects5[[#This Row],[LINKING_CODE]],MasterTable[Funding Source],"External Financing")/10^9</f>
        <v>0</v>
      </c>
      <c r="W56" s="49">
        <f>PAProjects[[#This Row],[GOU 22/23]]+PAProjects[[#This Row],[DONOR 22/23]]</f>
        <v>0</v>
      </c>
      <c r="X56" s="52">
        <f>SUMIFS(MasterTable[FY2 (FY23-24)],MasterTable[[Project Code and Name ]],PAProjects5[[#This Row],[LINKING_CODE]],MasterTable[Funding Source],"GoU Funded")/10^9</f>
        <v>0</v>
      </c>
      <c r="Y56" s="52">
        <f>SUMIFS(MasterTable[FY2 (FY23-24)],MasterTable[[Project Code and Name ]],PAProjects5[[#This Row],[LINKING_CODE]],MasterTable[Funding Source],"External Financing")/10^9</f>
        <v>0</v>
      </c>
      <c r="Z56" s="2">
        <f t="shared" si="3"/>
        <v>0</v>
      </c>
      <c r="AA56" s="52">
        <f>SUMIFS(MasterTable[FY3 (FY24-25)],MasterTable[[Project Code and Name ]],PAProjects5[[#This Row],[LINKING_CODE]],MasterTable[Funding Source],"GoU Funded")/10^9</f>
        <v>0</v>
      </c>
      <c r="AB56" s="52">
        <f>SUMIFS(MasterTable[FY3 (FY24-25)],MasterTable[[Project Code and Name ]],PAProjects5[[#This Row],[LINKING_CODE]],MasterTable[Funding Source],"External Financing")/10^9</f>
        <v>0</v>
      </c>
      <c r="AC56" s="29">
        <f>PAProjects[[#This Row],[GOU 24/25]]+PAProjects[[#This Row],[DONOR 24/25]]</f>
        <v>0</v>
      </c>
    </row>
    <row r="57" spans="1:29" ht="15" hidden="1" customHeight="1" x14ac:dyDescent="0.25">
      <c r="A57" s="21" t="s">
        <v>115</v>
      </c>
      <c r="B57" s="2" t="s">
        <v>405</v>
      </c>
      <c r="C57" s="2" t="e">
        <f ca="1">PAProjects5[[#This Row],[LINKING_CODE]]=_xlfn.CONCAT(PAProjects5[[#This Row],[Project Code]]," ",PAProjects5[[#This Row],[Project Name]])</f>
        <v>#NAME?</v>
      </c>
      <c r="D57" s="2" t="str">
        <f>VLOOKUP(PAProjects5[[#This Row],[LINKING_CODE]],MasterTable[[Project Code and Name ]],1,FALSE)</f>
        <v>1403 Soroti-Katakwi-Moroto-Lokitonyala road</v>
      </c>
      <c r="E57" s="2" t="s">
        <v>515</v>
      </c>
      <c r="F57" s="2" t="s">
        <v>944</v>
      </c>
      <c r="G57" s="2" t="s">
        <v>113</v>
      </c>
      <c r="H57" s="2" t="s">
        <v>1007</v>
      </c>
      <c r="I57" s="2" t="s">
        <v>1064</v>
      </c>
      <c r="J57" s="2" t="s">
        <v>1065</v>
      </c>
      <c r="K57" s="2" t="s">
        <v>1509</v>
      </c>
      <c r="L57" s="26">
        <v>42552</v>
      </c>
      <c r="M57" s="23">
        <v>45473</v>
      </c>
      <c r="N57" s="24">
        <v>483.48</v>
      </c>
      <c r="O57" s="25">
        <v>0</v>
      </c>
      <c r="P57" s="20">
        <f t="shared" si="0"/>
        <v>483.48</v>
      </c>
      <c r="Q57" s="53">
        <f>SUMIFS(MasterTable[Estimate of Arrears at end of the current FY 2020/21 (value)],MasterTable[[Project Code and Name ]],PAProjects5[[#This Row],[LINKING_CODE]],MasterTable[Funding Source],"GoU Funded")/10^9</f>
        <v>43.014777643000002</v>
      </c>
      <c r="R57" s="108">
        <f>SUMIFS(MasterTable[Arrears + All Contractual Commitments (value next FY)],MasterTable[[Project Code and Name ]],PAProjects5[[#This Row],[LINKING_CODE]],MasterTable[Funding Source],"GoU Funded")/10^9</f>
        <v>63.014777643000002</v>
      </c>
      <c r="S57" s="108">
        <f>SUMIFS(MasterTable[Arrears + All Contractual Commitments (value next FY)],MasterTable[[Project Code and Name ]],PAProjects5[[#This Row],[LINKING_CODE]],MasterTable[Funding Source],"External Financing")/10^9</f>
        <v>0</v>
      </c>
      <c r="T57" s="49">
        <f>PAProjects[[#This Row],[GOU 21/22]]+PAProjects[[#This Row],[DONOR 21/22]]</f>
        <v>63.014777643000002</v>
      </c>
      <c r="U57" s="107">
        <f>SUMIFS(MasterTable[FY1 (FY22-23)],MasterTable[[Project Code and Name ]],PAProjects5[[#This Row],[LINKING_CODE]],MasterTable[Funding Source],"GoU Funded")/10^9</f>
        <v>0</v>
      </c>
      <c r="V57" s="52">
        <f>SUMIFS(MasterTable[FY1 (FY22-23)],MasterTable[[Project Code and Name ]],PAProjects5[[#This Row],[LINKING_CODE]],MasterTable[Funding Source],"External Financing")/10^9</f>
        <v>0</v>
      </c>
      <c r="W57" s="49">
        <f>PAProjects[[#This Row],[GOU 22/23]]+PAProjects[[#This Row],[DONOR 22/23]]</f>
        <v>0</v>
      </c>
      <c r="X57" s="52">
        <f>SUMIFS(MasterTable[FY2 (FY23-24)],MasterTable[[Project Code and Name ]],PAProjects5[[#This Row],[LINKING_CODE]],MasterTable[Funding Source],"GoU Funded")/10^9</f>
        <v>0</v>
      </c>
      <c r="Y57" s="52">
        <f>SUMIFS(MasterTable[FY2 (FY23-24)],MasterTable[[Project Code and Name ]],PAProjects5[[#This Row],[LINKING_CODE]],MasterTable[Funding Source],"External Financing")/10^9</f>
        <v>0</v>
      </c>
      <c r="Z57" s="34">
        <f t="shared" si="3"/>
        <v>0</v>
      </c>
      <c r="AA57" s="52">
        <f>SUMIFS(MasterTable[FY3 (FY24-25)],MasterTable[[Project Code and Name ]],PAProjects5[[#This Row],[LINKING_CODE]],MasterTable[Funding Source],"GoU Funded")/10^9</f>
        <v>0</v>
      </c>
      <c r="AB57" s="52">
        <f>SUMIFS(MasterTable[FY3 (FY24-25)],MasterTable[[Project Code and Name ]],PAProjects5[[#This Row],[LINKING_CODE]],MasterTable[Funding Source],"External Financing")/10^9</f>
        <v>0</v>
      </c>
      <c r="AC57" s="49">
        <f>PAProjects[[#This Row],[GOU 24/25]]+PAProjects[[#This Row],[DONOR 24/25]]</f>
        <v>0</v>
      </c>
    </row>
    <row r="58" spans="1:29" ht="15" hidden="1" customHeight="1" x14ac:dyDescent="0.25">
      <c r="A58" s="21" t="s">
        <v>116</v>
      </c>
      <c r="B58" s="2" t="s">
        <v>406</v>
      </c>
      <c r="C58" s="2" t="e">
        <f ca="1">PAProjects5[[#This Row],[LINKING_CODE]]=_xlfn.CONCAT(PAProjects5[[#This Row],[Project Code]]," ",PAProjects5[[#This Row],[Project Name]])</f>
        <v>#NAME?</v>
      </c>
      <c r="D58" s="2" t="str">
        <f>VLOOKUP(PAProjects5[[#This Row],[LINKING_CODE]],MasterTable[[Project Code and Name ]],1,FALSE)</f>
        <v>1404 Kibuye- Busega- Mpigi</v>
      </c>
      <c r="E58" s="2" t="s">
        <v>515</v>
      </c>
      <c r="F58" s="2" t="s">
        <v>944</v>
      </c>
      <c r="G58" s="2" t="s">
        <v>113</v>
      </c>
      <c r="H58" s="2" t="s">
        <v>1007</v>
      </c>
      <c r="I58" s="2" t="s">
        <v>1066</v>
      </c>
      <c r="J58" s="2" t="s">
        <v>1067</v>
      </c>
      <c r="K58" s="2" t="s">
        <v>1509</v>
      </c>
      <c r="L58" s="26">
        <v>42552</v>
      </c>
      <c r="M58" s="23">
        <v>45107</v>
      </c>
      <c r="N58" s="24">
        <v>270</v>
      </c>
      <c r="O58" s="25">
        <v>1288.8</v>
      </c>
      <c r="P58" s="20">
        <f t="shared" si="0"/>
        <v>1558.8</v>
      </c>
      <c r="Q58" s="53">
        <f>SUMIFS(MasterTable[Estimate of Arrears at end of the current FY 2020/21 (value)],MasterTable[[Project Code and Name ]],PAProjects5[[#This Row],[LINKING_CODE]],MasterTable[Funding Source],"GoU Funded")/10^9</f>
        <v>0</v>
      </c>
      <c r="R58" s="108">
        <f>SUMIFS(MasterTable[Arrears + All Contractual Commitments (value next FY)],MasterTable[[Project Code and Name ]],PAProjects5[[#This Row],[LINKING_CODE]],MasterTable[Funding Source],"GoU Funded")/10^9</f>
        <v>0.81108975000000005</v>
      </c>
      <c r="S58" s="108">
        <f>SUMIFS(MasterTable[Arrears + All Contractual Commitments (value next FY)],MasterTable[[Project Code and Name ]],PAProjects5[[#This Row],[LINKING_CODE]],MasterTable[Funding Source],"External Financing")/10^9</f>
        <v>113.776</v>
      </c>
      <c r="T58" s="49">
        <f>PAProjects[[#This Row],[GOU 21/22]]+PAProjects[[#This Row],[DONOR 21/22]]</f>
        <v>114.58708974999999</v>
      </c>
      <c r="U58" s="107">
        <f>SUMIFS(MasterTable[FY1 (FY22-23)],MasterTable[[Project Code and Name ]],PAProjects5[[#This Row],[LINKING_CODE]],MasterTable[Funding Source],"GoU Funded")/10^9</f>
        <v>0</v>
      </c>
      <c r="V58" s="52">
        <f>SUMIFS(MasterTable[FY1 (FY22-23)],MasterTable[[Project Code and Name ]],PAProjects5[[#This Row],[LINKING_CODE]],MasterTable[Funding Source],"External Financing")/10^9</f>
        <v>284.44</v>
      </c>
      <c r="W58" s="49">
        <f>PAProjects[[#This Row],[GOU 22/23]]+PAProjects[[#This Row],[DONOR 22/23]]</f>
        <v>284.44</v>
      </c>
      <c r="X58" s="52">
        <f>SUMIFS(MasterTable[FY2 (FY23-24)],MasterTable[[Project Code and Name ]],PAProjects5[[#This Row],[LINKING_CODE]],MasterTable[Funding Source],"GoU Funded")/10^9</f>
        <v>0</v>
      </c>
      <c r="Y58" s="52">
        <f>SUMIFS(MasterTable[FY2 (FY23-24)],MasterTable[[Project Code and Name ]],PAProjects5[[#This Row],[LINKING_CODE]],MasterTable[Funding Source],"External Financing")/10^9</f>
        <v>0</v>
      </c>
      <c r="Z58" s="2">
        <f t="shared" si="3"/>
        <v>0</v>
      </c>
      <c r="AA58" s="52">
        <f>SUMIFS(MasterTable[FY3 (FY24-25)],MasterTable[[Project Code and Name ]],PAProjects5[[#This Row],[LINKING_CODE]],MasterTable[Funding Source],"GoU Funded")/10^9</f>
        <v>0</v>
      </c>
      <c r="AB58" s="52">
        <f>SUMIFS(MasterTable[FY3 (FY24-25)],MasterTable[[Project Code and Name ]],PAProjects5[[#This Row],[LINKING_CODE]],MasterTable[Funding Source],"External Financing")/10^9</f>
        <v>0</v>
      </c>
      <c r="AC58" s="49">
        <f>PAProjects[[#This Row],[GOU 24/25]]+PAProjects[[#This Row],[DONOR 24/25]]</f>
        <v>0</v>
      </c>
    </row>
    <row r="59" spans="1:29" ht="15" hidden="1" customHeight="1" x14ac:dyDescent="0.25">
      <c r="A59" s="21" t="s">
        <v>280</v>
      </c>
      <c r="B59" s="2" t="s">
        <v>46</v>
      </c>
      <c r="C59" s="2" t="e">
        <f ca="1">PAProjects5[[#This Row],[LINKING_CODE]]=_xlfn.CONCAT(PAProjects5[[#This Row],[Project Code]]," ",PAProjects5[[#This Row],[Project Name]])</f>
        <v>#NAME?</v>
      </c>
      <c r="D59" s="2" t="str">
        <f>VLOOKUP(PAProjects5[[#This Row],[LINKING_CODE]],MasterTable[[Project Code and Name ]],1,FALSE)</f>
        <v>1409 Mirama - Kabale 132kv Transmission Project</v>
      </c>
      <c r="E59" s="2" t="s">
        <v>513</v>
      </c>
      <c r="F59" s="2" t="s">
        <v>1089</v>
      </c>
      <c r="G59" s="2" t="s">
        <v>66</v>
      </c>
      <c r="H59" s="2" t="s">
        <v>1251</v>
      </c>
      <c r="I59" s="2" t="s">
        <v>1252</v>
      </c>
      <c r="J59" s="2" t="s">
        <v>568</v>
      </c>
      <c r="K59" s="2" t="s">
        <v>1509</v>
      </c>
      <c r="L59" s="23">
        <v>42552</v>
      </c>
      <c r="M59" s="23">
        <v>44742</v>
      </c>
      <c r="N59" s="30">
        <v>27.375</v>
      </c>
      <c r="O59" s="31">
        <v>209.375</v>
      </c>
      <c r="P59" s="20">
        <f t="shared" si="0"/>
        <v>236.75</v>
      </c>
      <c r="Q59" s="53">
        <f>SUMIFS(MasterTable[Estimate of Arrears at end of the current FY 2020/21 (value)],MasterTable[[Project Code and Name ]],PAProjects5[[#This Row],[LINKING_CODE]],MasterTable[Funding Source],"GoU Funded")/10^9</f>
        <v>0</v>
      </c>
      <c r="R59" s="108">
        <f>SUMIFS(MasterTable[Arrears + All Contractual Commitments (value next FY)],MasterTable[[Project Code and Name ]],PAProjects5[[#This Row],[LINKING_CODE]],MasterTable[Funding Source],"GoU Funded")/10^9</f>
        <v>5.27</v>
      </c>
      <c r="S59" s="108">
        <f>SUMIFS(MasterTable[Arrears + All Contractual Commitments (value next FY)],MasterTable[[Project Code and Name ]],PAProjects5[[#This Row],[LINKING_CODE]],MasterTable[Funding Source],"External Financing")/10^9</f>
        <v>15.39</v>
      </c>
      <c r="T59" s="49">
        <f>PAProjects[[#This Row],[GOU 21/22]]+PAProjects[[#This Row],[DONOR 21/22]]</f>
        <v>20.66</v>
      </c>
      <c r="U59" s="107">
        <f>SUMIFS(MasterTable[FY1 (FY22-23)],MasterTable[[Project Code and Name ]],PAProjects5[[#This Row],[LINKING_CODE]],MasterTable[Funding Source],"GoU Funded")/10^9</f>
        <v>0</v>
      </c>
      <c r="V59" s="52">
        <f>SUMIFS(MasterTable[FY1 (FY22-23)],MasterTable[[Project Code and Name ]],PAProjects5[[#This Row],[LINKING_CODE]],MasterTable[Funding Source],"External Financing")/10^9</f>
        <v>0</v>
      </c>
      <c r="W59" s="49">
        <f>PAProjects[[#This Row],[GOU 22/23]]+PAProjects[[#This Row],[DONOR 22/23]]</f>
        <v>0</v>
      </c>
      <c r="X59" s="52">
        <f>SUMIFS(MasterTable[FY2 (FY23-24)],MasterTable[[Project Code and Name ]],PAProjects5[[#This Row],[LINKING_CODE]],MasterTable[Funding Source],"GoU Funded")/10^9</f>
        <v>0</v>
      </c>
      <c r="Y59" s="52">
        <f>SUMIFS(MasterTable[FY2 (FY23-24)],MasterTable[[Project Code and Name ]],PAProjects5[[#This Row],[LINKING_CODE]],MasterTable[Funding Source],"External Financing")/10^9</f>
        <v>0</v>
      </c>
      <c r="Z59" s="2">
        <f t="shared" si="3"/>
        <v>0</v>
      </c>
      <c r="AA59" s="52">
        <f>SUMIFS(MasterTable[FY3 (FY24-25)],MasterTable[[Project Code and Name ]],PAProjects5[[#This Row],[LINKING_CODE]],MasterTable[Funding Source],"GoU Funded")/10^9</f>
        <v>0</v>
      </c>
      <c r="AB59" s="52">
        <f>SUMIFS(MasterTable[FY3 (FY24-25)],MasterTable[[Project Code and Name ]],PAProjects5[[#This Row],[LINKING_CODE]],MasterTable[Funding Source],"External Financing")/10^9</f>
        <v>0</v>
      </c>
      <c r="AC59" s="49">
        <f>PAProjects[[#This Row],[GOU 24/25]]+PAProjects[[#This Row],[DONOR 24/25]]</f>
        <v>0</v>
      </c>
    </row>
    <row r="60" spans="1:29" ht="15" hidden="1" customHeight="1" x14ac:dyDescent="0.25">
      <c r="A60" s="21" t="s">
        <v>145</v>
      </c>
      <c r="B60" s="2" t="s">
        <v>57</v>
      </c>
      <c r="C60" s="2" t="e">
        <f ca="1">PAProjects5[[#This Row],[LINKING_CODE]]=_xlfn.CONCAT(PAProjects5[[#This Row],[Project Code]]," ",PAProjects5[[#This Row],[Project Name]])</f>
        <v>#NAME?</v>
      </c>
      <c r="D60" s="2" t="str">
        <f>VLOOKUP(PAProjects5[[#This Row],[LINKING_CODE]],MasterTable[[Project Code and Name ]],1,FALSE)</f>
        <v>1410 Skills for Oil and Gas Africa (SOGA)</v>
      </c>
      <c r="E60" s="2" t="s">
        <v>513</v>
      </c>
      <c r="F60" s="2" t="s">
        <v>1089</v>
      </c>
      <c r="G60" s="2" t="s">
        <v>66</v>
      </c>
      <c r="H60" s="2" t="s">
        <v>1095</v>
      </c>
      <c r="I60" s="2" t="s">
        <v>1100</v>
      </c>
      <c r="J60" s="2" t="s">
        <v>1101</v>
      </c>
      <c r="K60" s="2" t="s">
        <v>1509</v>
      </c>
      <c r="L60" s="23">
        <v>42552</v>
      </c>
      <c r="M60" s="23">
        <v>44742</v>
      </c>
      <c r="N60" s="30">
        <v>8.6999999999999993</v>
      </c>
      <c r="O60" s="31">
        <v>41.3</v>
      </c>
      <c r="P60" s="20">
        <f t="shared" si="0"/>
        <v>50</v>
      </c>
      <c r="Q60" s="53">
        <f>SUMIFS(MasterTable[Estimate of Arrears at end of the current FY 2020/21 (value)],MasterTable[[Project Code and Name ]],PAProjects5[[#This Row],[LINKING_CODE]],MasterTable[Funding Source],"GoU Funded")/10^9</f>
        <v>0</v>
      </c>
      <c r="R60" s="108">
        <f>SUMIFS(MasterTable[Arrears + All Contractual Commitments (value next FY)],MasterTable[[Project Code and Name ]],PAProjects5[[#This Row],[LINKING_CODE]],MasterTable[Funding Source],"GoU Funded")/10^9</f>
        <v>3.07</v>
      </c>
      <c r="S60" s="108">
        <f>SUMIFS(MasterTable[Arrears + All Contractual Commitments (value next FY)],MasterTable[[Project Code and Name ]],PAProjects5[[#This Row],[LINKING_CODE]],MasterTable[Funding Source],"External Financing")/10^9</f>
        <v>0</v>
      </c>
      <c r="T60" s="49">
        <f>PAProjects[[#This Row],[GOU 21/22]]+PAProjects[[#This Row],[DONOR 21/22]]</f>
        <v>3.07</v>
      </c>
      <c r="U60" s="107">
        <f>SUMIFS(MasterTable[FY1 (FY22-23)],MasterTable[[Project Code and Name ]],PAProjects5[[#This Row],[LINKING_CODE]],MasterTable[Funding Source],"GoU Funded")/10^9</f>
        <v>0</v>
      </c>
      <c r="V60" s="52">
        <f>SUMIFS(MasterTable[FY1 (FY22-23)],MasterTable[[Project Code and Name ]],PAProjects5[[#This Row],[LINKING_CODE]],MasterTable[Funding Source],"External Financing")/10^9</f>
        <v>0</v>
      </c>
      <c r="W60" s="49">
        <f>PAProjects[[#This Row],[GOU 22/23]]+PAProjects[[#This Row],[DONOR 22/23]]</f>
        <v>0</v>
      </c>
      <c r="X60" s="52">
        <f>SUMIFS(MasterTable[FY2 (FY23-24)],MasterTable[[Project Code and Name ]],PAProjects5[[#This Row],[LINKING_CODE]],MasterTable[Funding Source],"GoU Funded")/10^9</f>
        <v>0</v>
      </c>
      <c r="Y60" s="52">
        <f>SUMIFS(MasterTable[FY2 (FY23-24)],MasterTable[[Project Code and Name ]],PAProjects5[[#This Row],[LINKING_CODE]],MasterTable[Funding Source],"External Financing")/10^9</f>
        <v>0</v>
      </c>
      <c r="Z60" s="2">
        <f t="shared" si="3"/>
        <v>0</v>
      </c>
      <c r="AA60" s="52">
        <f>SUMIFS(MasterTable[FY3 (FY24-25)],MasterTable[[Project Code and Name ]],PAProjects5[[#This Row],[LINKING_CODE]],MasterTable[Funding Source],"GoU Funded")/10^9</f>
        <v>0</v>
      </c>
      <c r="AB60" s="52">
        <f>SUMIFS(MasterTable[FY3 (FY24-25)],MasterTable[[Project Code and Name ]],PAProjects5[[#This Row],[LINKING_CODE]],MasterTable[Funding Source],"External Financing")/10^9</f>
        <v>0</v>
      </c>
      <c r="AC60" s="49">
        <f>PAProjects[[#This Row],[GOU 24/25]]+PAProjects[[#This Row],[DONOR 24/25]]</f>
        <v>0</v>
      </c>
    </row>
    <row r="61" spans="1:29" ht="15" hidden="1" customHeight="1" x14ac:dyDescent="0.25">
      <c r="A61" s="21" t="s">
        <v>609</v>
      </c>
      <c r="B61" s="2" t="s">
        <v>468</v>
      </c>
      <c r="C61" s="2" t="e">
        <f ca="1">PAProjects5[[#This Row],[LINKING_CODE]]=_xlfn.CONCAT(PAProjects5[[#This Row],[Project Code]]," ",PAProjects5[[#This Row],[Project Name]])</f>
        <v>#NAME?</v>
      </c>
      <c r="D61" s="2" t="str">
        <f>VLOOKUP(PAProjects5[[#This Row],[LINKING_CODE]],MasterTable[[Project Code and Name ]],1,FALSE)</f>
        <v>1412 The Technical Vocational Education and Training (TVET-LEAD)</v>
      </c>
      <c r="E61" s="2" t="s">
        <v>519</v>
      </c>
      <c r="F61" s="2" t="s">
        <v>960</v>
      </c>
      <c r="G61" s="2" t="s">
        <v>961</v>
      </c>
      <c r="H61" s="2" t="s">
        <v>962</v>
      </c>
      <c r="I61" s="2" t="s">
        <v>675</v>
      </c>
      <c r="J61" s="2" t="s">
        <v>967</v>
      </c>
      <c r="K61" s="2" t="s">
        <v>1509</v>
      </c>
      <c r="L61" s="23">
        <v>42552</v>
      </c>
      <c r="M61" s="23">
        <v>44742</v>
      </c>
      <c r="N61" s="24">
        <v>4.9180000000000001</v>
      </c>
      <c r="O61" s="25">
        <v>16.367999999999999</v>
      </c>
      <c r="P61" s="20">
        <f t="shared" si="0"/>
        <v>21.285999999999998</v>
      </c>
      <c r="Q61" s="53">
        <f>SUMIFS(MasterTable[Estimate of Arrears at end of the current FY 2020/21 (value)],MasterTable[[Project Code and Name ]],PAProjects5[[#This Row],[LINKING_CODE]],MasterTable[Funding Source],"GoU Funded")/10^9</f>
        <v>0</v>
      </c>
      <c r="R61" s="108">
        <f>SUMIFS(MasterTable[Arrears + All Contractual Commitments (value next FY)],MasterTable[[Project Code and Name ]],PAProjects5[[#This Row],[LINKING_CODE]],MasterTable[Funding Source],"GoU Funded")/10^9</f>
        <v>0</v>
      </c>
      <c r="S61" s="108">
        <f>SUMIFS(MasterTable[Arrears + All Contractual Commitments (value next FY)],MasterTable[[Project Code and Name ]],PAProjects5[[#This Row],[LINKING_CODE]],MasterTable[Funding Source],"External Financing")/10^9</f>
        <v>0</v>
      </c>
      <c r="T61" s="49">
        <f>PAProjects[[#This Row],[GOU 21/22]]+PAProjects[[#This Row],[DONOR 21/22]]</f>
        <v>0</v>
      </c>
      <c r="U61" s="107">
        <f>SUMIFS(MasterTable[FY1 (FY22-23)],MasterTable[[Project Code and Name ]],PAProjects5[[#This Row],[LINKING_CODE]],MasterTable[Funding Source],"GoU Funded")/10^9</f>
        <v>0</v>
      </c>
      <c r="V61" s="52">
        <f>SUMIFS(MasterTable[FY1 (FY22-23)],MasterTable[[Project Code and Name ]],PAProjects5[[#This Row],[LINKING_CODE]],MasterTable[Funding Source],"External Financing")/10^9</f>
        <v>0</v>
      </c>
      <c r="W61" s="49">
        <f>PAProjects[[#This Row],[GOU 22/23]]+PAProjects[[#This Row],[DONOR 22/23]]</f>
        <v>0</v>
      </c>
      <c r="X61" s="52">
        <f>SUMIFS(MasterTable[FY2 (FY23-24)],MasterTable[[Project Code and Name ]],PAProjects5[[#This Row],[LINKING_CODE]],MasterTable[Funding Source],"GoU Funded")/10^9</f>
        <v>0</v>
      </c>
      <c r="Y61" s="52">
        <f>SUMIFS(MasterTable[FY2 (FY23-24)],MasterTable[[Project Code and Name ]],PAProjects5[[#This Row],[LINKING_CODE]],MasterTable[Funding Source],"External Financing")/10^9</f>
        <v>0</v>
      </c>
      <c r="Z61" s="2">
        <f t="shared" si="3"/>
        <v>0</v>
      </c>
      <c r="AA61" s="52">
        <f>SUMIFS(MasterTable[FY3 (FY24-25)],MasterTable[[Project Code and Name ]],PAProjects5[[#This Row],[LINKING_CODE]],MasterTable[Funding Source],"GoU Funded")/10^9</f>
        <v>0</v>
      </c>
      <c r="AB61" s="52">
        <f>SUMIFS(MasterTable[FY3 (FY24-25)],MasterTable[[Project Code and Name ]],PAProjects5[[#This Row],[LINKING_CODE]],MasterTable[Funding Source],"External Financing")/10^9</f>
        <v>0</v>
      </c>
      <c r="AC61" s="49">
        <f>PAProjects[[#This Row],[GOU 24/25]]+PAProjects[[#This Row],[DONOR 24/25]]</f>
        <v>0</v>
      </c>
    </row>
    <row r="62" spans="1:29" ht="15" hidden="1" customHeight="1" x14ac:dyDescent="0.25">
      <c r="A62" s="21" t="s">
        <v>628</v>
      </c>
      <c r="B62" s="21" t="s">
        <v>481</v>
      </c>
      <c r="C62" s="21" t="e">
        <f ca="1">PAProjects5[[#This Row],[LINKING_CODE]]=_xlfn.CONCAT(PAProjects5[[#This Row],[Project Code]]," ",PAProjects5[[#This Row],[Project Name]])</f>
        <v>#NAME?</v>
      </c>
      <c r="D62" s="21" t="str">
        <f>VLOOKUP(PAProjects5[[#This Row],[LINKING_CODE]],MasterTable[[Project Code and Name ]],1,FALSE)</f>
        <v>1419 Support to Soroti University Infrastructure Development</v>
      </c>
      <c r="E62" s="2" t="s">
        <v>519</v>
      </c>
      <c r="F62" s="2" t="s">
        <v>960</v>
      </c>
      <c r="G62" s="21" t="s">
        <v>308</v>
      </c>
      <c r="H62" s="2" t="s">
        <v>962</v>
      </c>
      <c r="I62" s="21" t="s">
        <v>679</v>
      </c>
      <c r="J62" s="2" t="s">
        <v>680</v>
      </c>
      <c r="K62" s="2" t="s">
        <v>1509</v>
      </c>
      <c r="L62" s="23">
        <v>44013</v>
      </c>
      <c r="M62" s="23">
        <v>45838</v>
      </c>
      <c r="N62" s="20">
        <v>42.35</v>
      </c>
      <c r="O62" s="20"/>
      <c r="P62" s="20">
        <f t="shared" si="0"/>
        <v>42.35</v>
      </c>
      <c r="Q62" s="53">
        <f>SUMIFS(MasterTable[Estimate of Arrears at end of the current FY 2020/21 (value)],MasterTable[[Project Code and Name ]],PAProjects5[[#This Row],[LINKING_CODE]],MasterTable[Funding Source],"GoU Funded")/10^9</f>
        <v>0</v>
      </c>
      <c r="R62" s="108">
        <f>SUMIFS(MasterTable[Arrears + All Contractual Commitments (value next FY)],MasterTable[[Project Code and Name ]],PAProjects5[[#This Row],[LINKING_CODE]],MasterTable[Funding Source],"GoU Funded")/10^9</f>
        <v>15</v>
      </c>
      <c r="S62" s="108">
        <f>SUMIFS(MasterTable[Arrears + All Contractual Commitments (value next FY)],MasterTable[[Project Code and Name ]],PAProjects5[[#This Row],[LINKING_CODE]],MasterTable[Funding Source],"External Financing")/10^9</f>
        <v>0</v>
      </c>
      <c r="T62" s="29">
        <f>PAProjects[[#This Row],[GOU 21/22]]+PAProjects[[#This Row],[DONOR 21/22]]</f>
        <v>15</v>
      </c>
      <c r="U62" s="107">
        <f>SUMIFS(MasterTable[FY1 (FY22-23)],MasterTable[[Project Code and Name ]],PAProjects5[[#This Row],[LINKING_CODE]],MasterTable[Funding Source],"GoU Funded")/10^9</f>
        <v>13.335000000000001</v>
      </c>
      <c r="V62" s="52">
        <f>SUMIFS(MasterTable[FY1 (FY22-23)],MasterTable[[Project Code and Name ]],PAProjects5[[#This Row],[LINKING_CODE]],MasterTable[Funding Source],"External Financing")/10^9</f>
        <v>0</v>
      </c>
      <c r="W62" s="29">
        <f>PAProjects[[#This Row],[GOU 22/23]]+PAProjects[[#This Row],[DONOR 22/23]]</f>
        <v>13.335000000000001</v>
      </c>
      <c r="X62" s="52">
        <f>SUMIFS(MasterTable[FY2 (FY23-24)],MasterTable[[Project Code and Name ]],PAProjects5[[#This Row],[LINKING_CODE]],MasterTable[Funding Source],"GoU Funded")/10^9</f>
        <v>9</v>
      </c>
      <c r="Y62" s="52">
        <f>SUMIFS(MasterTable[FY2 (FY23-24)],MasterTable[[Project Code and Name ]],PAProjects5[[#This Row],[LINKING_CODE]],MasterTable[Funding Source],"External Financing")/10^9</f>
        <v>0</v>
      </c>
      <c r="Z62" s="29">
        <f t="shared" si="3"/>
        <v>9</v>
      </c>
      <c r="AA62" s="52">
        <f>SUMIFS(MasterTable[FY3 (FY24-25)],MasterTable[[Project Code and Name ]],PAProjects5[[#This Row],[LINKING_CODE]],MasterTable[Funding Source],"GoU Funded")/10^9</f>
        <v>0.91500000000000004</v>
      </c>
      <c r="AB62" s="52">
        <f>SUMIFS(MasterTable[FY3 (FY24-25)],MasterTable[[Project Code and Name ]],PAProjects5[[#This Row],[LINKING_CODE]],MasterTable[Funding Source],"External Financing")/10^9</f>
        <v>0</v>
      </c>
      <c r="AC62" s="29">
        <f>PAProjects[[#This Row],[GOU 24/25]]+PAProjects[[#This Row],[DONOR 24/25]]</f>
        <v>0.91500000000000004</v>
      </c>
    </row>
    <row r="63" spans="1:29" ht="15" hidden="1" customHeight="1" x14ac:dyDescent="0.25">
      <c r="A63" s="21" t="s">
        <v>1011</v>
      </c>
      <c r="B63" s="2" t="s">
        <v>439</v>
      </c>
      <c r="C63" s="2" t="e">
        <f ca="1">PAProjects5[[#This Row],[LINKING_CODE]]=_xlfn.CONCAT(PAProjects5[[#This Row],[Project Code]]," ",PAProjects5[[#This Row],[Project Name]])</f>
        <v>#NAME?</v>
      </c>
      <c r="D63" s="2" t="str">
        <f>VLOOKUP(PAProjects5[[#This Row],[LINKING_CODE]],MasterTable[[Project Code and Name ]],1,FALSE)</f>
        <v>1421 Development of the Construction Industry</v>
      </c>
      <c r="E63" s="2" t="s">
        <v>515</v>
      </c>
      <c r="F63" s="2" t="s">
        <v>944</v>
      </c>
      <c r="G63" s="2" t="s">
        <v>99</v>
      </c>
      <c r="H63" s="2" t="s">
        <v>1007</v>
      </c>
      <c r="I63" s="2" t="s">
        <v>1012</v>
      </c>
      <c r="J63" s="2" t="s">
        <v>597</v>
      </c>
      <c r="K63" s="2" t="s">
        <v>1509</v>
      </c>
      <c r="L63" s="26">
        <v>42552</v>
      </c>
      <c r="M63" s="23">
        <v>44742</v>
      </c>
      <c r="N63" s="24">
        <v>63</v>
      </c>
      <c r="O63" s="20"/>
      <c r="P63" s="20">
        <f t="shared" si="0"/>
        <v>63</v>
      </c>
      <c r="Q63" s="53">
        <f>SUMIFS(MasterTable[Estimate of Arrears at end of the current FY 2020/21 (value)],MasterTable[[Project Code and Name ]],PAProjects5[[#This Row],[LINKING_CODE]],MasterTable[Funding Source],"GoU Funded")/10^9</f>
        <v>0</v>
      </c>
      <c r="R63" s="108">
        <f>SUMIFS(MasterTable[Arrears + All Contractual Commitments (value next FY)],MasterTable[[Project Code and Name ]],PAProjects5[[#This Row],[LINKING_CODE]],MasterTable[Funding Source],"GoU Funded")/10^9</f>
        <v>10.74</v>
      </c>
      <c r="S63" s="108">
        <f>SUMIFS(MasterTable[Arrears + All Contractual Commitments (value next FY)],MasterTable[[Project Code and Name ]],PAProjects5[[#This Row],[LINKING_CODE]],MasterTable[Funding Source],"External Financing")/10^9</f>
        <v>0</v>
      </c>
      <c r="T63" s="49">
        <f>PAProjects[[#This Row],[GOU 21/22]]+PAProjects[[#This Row],[DONOR 21/22]]</f>
        <v>10.74</v>
      </c>
      <c r="U63" s="107">
        <f>SUMIFS(MasterTable[FY1 (FY22-23)],MasterTable[[Project Code and Name ]],PAProjects5[[#This Row],[LINKING_CODE]],MasterTable[Funding Source],"GoU Funded")/10^9</f>
        <v>12</v>
      </c>
      <c r="V63" s="52">
        <f>SUMIFS(MasterTable[FY1 (FY22-23)],MasterTable[[Project Code and Name ]],PAProjects5[[#This Row],[LINKING_CODE]],MasterTable[Funding Source],"External Financing")/10^9</f>
        <v>0</v>
      </c>
      <c r="W63" s="49">
        <f>PAProjects[[#This Row],[GOU 22/23]]+PAProjects[[#This Row],[DONOR 22/23]]</f>
        <v>12</v>
      </c>
      <c r="X63" s="52">
        <f>SUMIFS(MasterTable[FY2 (FY23-24)],MasterTable[[Project Code and Name ]],PAProjects5[[#This Row],[LINKING_CODE]],MasterTable[Funding Source],"GoU Funded")/10^9</f>
        <v>0</v>
      </c>
      <c r="Y63" s="52">
        <f>SUMIFS(MasterTable[FY2 (FY23-24)],MasterTable[[Project Code and Name ]],PAProjects5[[#This Row],[LINKING_CODE]],MasterTable[Funding Source],"External Financing")/10^9</f>
        <v>0</v>
      </c>
      <c r="Z63" s="2">
        <f t="shared" si="3"/>
        <v>0</v>
      </c>
      <c r="AA63" s="52">
        <f>SUMIFS(MasterTable[FY3 (FY24-25)],MasterTable[[Project Code and Name ]],PAProjects5[[#This Row],[LINKING_CODE]],MasterTable[Funding Source],"GoU Funded")/10^9</f>
        <v>0</v>
      </c>
      <c r="AB63" s="52">
        <f>SUMIFS(MasterTable[FY3 (FY24-25)],MasterTable[[Project Code and Name ]],PAProjects5[[#This Row],[LINKING_CODE]],MasterTable[Funding Source],"External Financing")/10^9</f>
        <v>0</v>
      </c>
      <c r="AC63" s="49">
        <f>PAProjects[[#This Row],[GOU 24/25]]+PAProjects[[#This Row],[DONOR 24/25]]</f>
        <v>0</v>
      </c>
    </row>
    <row r="64" spans="1:29" ht="15" hidden="1" customHeight="1" x14ac:dyDescent="0.25">
      <c r="A64" s="21" t="s">
        <v>281</v>
      </c>
      <c r="B64" s="2" t="s">
        <v>47</v>
      </c>
      <c r="C64" s="2" t="e">
        <f ca="1">PAProjects5[[#This Row],[LINKING_CODE]]=_xlfn.CONCAT(PAProjects5[[#This Row],[Project Code]]," ",PAProjects5[[#This Row],[Project Name]])</f>
        <v>#NAME?</v>
      </c>
      <c r="D64" s="2" t="str">
        <f>VLOOKUP(PAProjects5[[#This Row],[LINKING_CODE]],MasterTable[[Project Code and Name ]],1,FALSE)</f>
        <v>1426 Grid Expansion and Reinforcement Project -Lira, Gulu, Nebbi to Arua Transmission Line</v>
      </c>
      <c r="E64" s="2" t="s">
        <v>513</v>
      </c>
      <c r="F64" s="2" t="s">
        <v>1089</v>
      </c>
      <c r="G64" s="2" t="s">
        <v>66</v>
      </c>
      <c r="H64" s="2" t="s">
        <v>1251</v>
      </c>
      <c r="I64" s="2" t="s">
        <v>1253</v>
      </c>
      <c r="J64" s="2" t="s">
        <v>569</v>
      </c>
      <c r="K64" s="2" t="s">
        <v>1509</v>
      </c>
      <c r="L64" s="23">
        <v>42552</v>
      </c>
      <c r="M64" s="23">
        <v>44742</v>
      </c>
      <c r="N64" s="30">
        <v>98.33</v>
      </c>
      <c r="O64" s="31">
        <v>360.18</v>
      </c>
      <c r="P64" s="20">
        <f t="shared" si="0"/>
        <v>458.51</v>
      </c>
      <c r="Q64" s="53">
        <f>SUMIFS(MasterTable[Estimate of Arrears at end of the current FY 2020/21 (value)],MasterTable[[Project Code and Name ]],PAProjects5[[#This Row],[LINKING_CODE]],MasterTable[Funding Source],"GoU Funded")/10^9</f>
        <v>0</v>
      </c>
      <c r="R64" s="108">
        <f>SUMIFS(MasterTable[Arrears + All Contractual Commitments (value next FY)],MasterTable[[Project Code and Name ]],PAProjects5[[#This Row],[LINKING_CODE]],MasterTable[Funding Source],"GoU Funded")/10^9</f>
        <v>2.5</v>
      </c>
      <c r="S64" s="108">
        <f>SUMIFS(MasterTable[Arrears + All Contractual Commitments (value next FY)],MasterTable[[Project Code and Name ]],PAProjects5[[#This Row],[LINKING_CODE]],MasterTable[Funding Source],"External Financing")/10^9</f>
        <v>15.39</v>
      </c>
      <c r="T64" s="49">
        <f>PAProjects[[#This Row],[GOU 21/22]]+PAProjects[[#This Row],[DONOR 21/22]]</f>
        <v>17.89</v>
      </c>
      <c r="U64" s="107">
        <f>SUMIFS(MasterTable[FY1 (FY22-23)],MasterTable[[Project Code and Name ]],PAProjects5[[#This Row],[LINKING_CODE]],MasterTable[Funding Source],"GoU Funded")/10^9</f>
        <v>0</v>
      </c>
      <c r="V64" s="52">
        <f>SUMIFS(MasterTable[FY1 (FY22-23)],MasterTable[[Project Code and Name ]],PAProjects5[[#This Row],[LINKING_CODE]],MasterTable[Funding Source],"External Financing")/10^9</f>
        <v>0</v>
      </c>
      <c r="W64" s="49">
        <f>PAProjects[[#This Row],[GOU 22/23]]+PAProjects[[#This Row],[DONOR 22/23]]</f>
        <v>0</v>
      </c>
      <c r="X64" s="52">
        <f>SUMIFS(MasterTable[FY2 (FY23-24)],MasterTable[[Project Code and Name ]],PAProjects5[[#This Row],[LINKING_CODE]],MasterTable[Funding Source],"GoU Funded")/10^9</f>
        <v>0</v>
      </c>
      <c r="Y64" s="52">
        <f>SUMIFS(MasterTable[FY2 (FY23-24)],MasterTable[[Project Code and Name ]],PAProjects5[[#This Row],[LINKING_CODE]],MasterTable[Funding Source],"External Financing")/10^9</f>
        <v>0</v>
      </c>
      <c r="Z64" s="2">
        <f t="shared" si="3"/>
        <v>0</v>
      </c>
      <c r="AA64" s="52">
        <f>SUMIFS(MasterTable[FY3 (FY24-25)],MasterTable[[Project Code and Name ]],PAProjects5[[#This Row],[LINKING_CODE]],MasterTable[Funding Source],"GoU Funded")/10^9</f>
        <v>0</v>
      </c>
      <c r="AB64" s="52">
        <f>SUMIFS(MasterTable[FY3 (FY24-25)],MasterTable[[Project Code and Name ]],PAProjects5[[#This Row],[LINKING_CODE]],MasterTable[Funding Source],"External Financing")/10^9</f>
        <v>0</v>
      </c>
      <c r="AC64" s="49">
        <f>PAProjects[[#This Row],[GOU 24/25]]+PAProjects[[#This Row],[DONOR 24/25]]</f>
        <v>0</v>
      </c>
    </row>
    <row r="65" spans="1:29" ht="15" hidden="1" customHeight="1" x14ac:dyDescent="0.25">
      <c r="A65" s="21" t="s">
        <v>282</v>
      </c>
      <c r="B65" s="2" t="s">
        <v>48</v>
      </c>
      <c r="C65" s="2" t="e">
        <f ca="1">PAProjects5[[#This Row],[LINKING_CODE]]=_xlfn.CONCAT(PAProjects5[[#This Row],[Project Code]]," ",PAProjects5[[#This Row],[Project Name]])</f>
        <v>#NAME?</v>
      </c>
      <c r="D65" s="2" t="str">
        <f>VLOOKUP(PAProjects5[[#This Row],[LINKING_CODE]],MasterTable[[Project Code and Name ]],1,FALSE)</f>
        <v>1428 Energy for Rural Transformation (ERT) Phase III</v>
      </c>
      <c r="E65" s="2" t="s">
        <v>513</v>
      </c>
      <c r="F65" s="2" t="s">
        <v>1089</v>
      </c>
      <c r="G65" s="2" t="s">
        <v>66</v>
      </c>
      <c r="H65" s="2" t="s">
        <v>1251</v>
      </c>
      <c r="I65" s="2" t="s">
        <v>1254</v>
      </c>
      <c r="J65" s="2" t="s">
        <v>565</v>
      </c>
      <c r="K65" s="2" t="s">
        <v>1509</v>
      </c>
      <c r="L65" s="23">
        <v>42917</v>
      </c>
      <c r="M65" s="23">
        <v>45107</v>
      </c>
      <c r="N65" s="30">
        <v>31.602</v>
      </c>
      <c r="O65" s="31">
        <v>486.75</v>
      </c>
      <c r="P65" s="20">
        <f t="shared" si="0"/>
        <v>518.35199999999998</v>
      </c>
      <c r="Q65" s="53">
        <f>SUMIFS(MasterTable[Estimate of Arrears at end of the current FY 2020/21 (value)],MasterTable[[Project Code and Name ]],PAProjects5[[#This Row],[LINKING_CODE]],MasterTable[Funding Source],"GoU Funded")/10^9</f>
        <v>0</v>
      </c>
      <c r="R65" s="108">
        <f>SUMIFS(MasterTable[Arrears + All Contractual Commitments (value next FY)],MasterTable[[Project Code and Name ]],PAProjects5[[#This Row],[LINKING_CODE]],MasterTable[Funding Source],"GoU Funded")/10^9</f>
        <v>13.07</v>
      </c>
      <c r="S65" s="108">
        <f>SUMIFS(MasterTable[Arrears + All Contractual Commitments (value next FY)],MasterTable[[Project Code and Name ]],PAProjects5[[#This Row],[LINKING_CODE]],MasterTable[Funding Source],"External Financing")/10^9</f>
        <v>55.49</v>
      </c>
      <c r="T65" s="49">
        <f>PAProjects[[#This Row],[GOU 21/22]]+PAProjects[[#This Row],[DONOR 21/22]]</f>
        <v>68.56</v>
      </c>
      <c r="U65" s="107">
        <f>SUMIFS(MasterTable[FY1 (FY22-23)],MasterTable[[Project Code and Name ]],PAProjects5[[#This Row],[LINKING_CODE]],MasterTable[Funding Source],"GoU Funded")/10^9</f>
        <v>0</v>
      </c>
      <c r="V65" s="52">
        <f>SUMIFS(MasterTable[FY1 (FY22-23)],MasterTable[[Project Code and Name ]],PAProjects5[[#This Row],[LINKING_CODE]],MasterTable[Funding Source],"External Financing")/10^9</f>
        <v>0</v>
      </c>
      <c r="W65" s="49">
        <f>PAProjects[[#This Row],[GOU 22/23]]+PAProjects[[#This Row],[DONOR 22/23]]</f>
        <v>0</v>
      </c>
      <c r="X65" s="52">
        <f>SUMIFS(MasterTable[FY2 (FY23-24)],MasterTable[[Project Code and Name ]],PAProjects5[[#This Row],[LINKING_CODE]],MasterTable[Funding Source],"GoU Funded")/10^9</f>
        <v>0</v>
      </c>
      <c r="Y65" s="52">
        <f>SUMIFS(MasterTable[FY2 (FY23-24)],MasterTable[[Project Code and Name ]],PAProjects5[[#This Row],[LINKING_CODE]],MasterTable[Funding Source],"External Financing")/10^9</f>
        <v>0</v>
      </c>
      <c r="Z65" s="2">
        <f t="shared" si="3"/>
        <v>0</v>
      </c>
      <c r="AA65" s="52">
        <f>SUMIFS(MasterTable[FY3 (FY24-25)],MasterTable[[Project Code and Name ]],PAProjects5[[#This Row],[LINKING_CODE]],MasterTable[Funding Source],"GoU Funded")/10^9</f>
        <v>0</v>
      </c>
      <c r="AB65" s="52">
        <f>SUMIFS(MasterTable[FY3 (FY24-25)],MasterTable[[Project Code and Name ]],PAProjects5[[#This Row],[LINKING_CODE]],MasterTable[Funding Source],"External Financing")/10^9</f>
        <v>0</v>
      </c>
      <c r="AC65" s="49">
        <f>PAProjects[[#This Row],[GOU 24/25]]+PAProjects[[#This Row],[DONOR 24/25]]</f>
        <v>0</v>
      </c>
    </row>
    <row r="66" spans="1:29" ht="15" hidden="1" customHeight="1" x14ac:dyDescent="0.25">
      <c r="A66" s="21" t="s">
        <v>289</v>
      </c>
      <c r="B66" s="2" t="s">
        <v>1294</v>
      </c>
      <c r="C66" s="2" t="e">
        <f ca="1">PAProjects5[[#This Row],[LINKING_CODE]]=_xlfn.CONCAT(PAProjects5[[#This Row],[Project Code]]," ",PAProjects5[[#This Row],[Project Name]])</f>
        <v>#NAME?</v>
      </c>
      <c r="D66" s="2" t="str">
        <f>VLOOKUP(PAProjects5[[#This Row],[LINKING_CODE]],MasterTable[[Project Code and Name ]],1,FALSE)</f>
        <v>1428 Energy for Rural Transformation (ERT) Phase III -REA</v>
      </c>
      <c r="E66" s="2" t="s">
        <v>513</v>
      </c>
      <c r="F66" s="2" t="s">
        <v>1089</v>
      </c>
      <c r="G66" s="2" t="s">
        <v>123</v>
      </c>
      <c r="H66" s="2" t="s">
        <v>1251</v>
      </c>
      <c r="I66" s="2" t="s">
        <v>1254</v>
      </c>
      <c r="J66" s="22" t="s">
        <v>565</v>
      </c>
      <c r="K66" s="2" t="s">
        <v>1509</v>
      </c>
      <c r="L66" s="23">
        <v>42917</v>
      </c>
      <c r="M66" s="23">
        <v>44742</v>
      </c>
      <c r="N66" s="30">
        <v>31.602</v>
      </c>
      <c r="O66" s="31">
        <v>486.75</v>
      </c>
      <c r="P66" s="20">
        <f t="shared" si="0"/>
        <v>518.35199999999998</v>
      </c>
      <c r="Q66" s="53">
        <f>SUMIFS(MasterTable[Estimate of Arrears at end of the current FY 2020/21 (value)],MasterTable[[Project Code and Name ]],PAProjects5[[#This Row],[LINKING_CODE]],MasterTable[Funding Source],"GoU Funded")/10^9</f>
        <v>0</v>
      </c>
      <c r="R66" s="108">
        <f>SUMIFS(MasterTable[Arrears + All Contractual Commitments (value next FY)],MasterTable[[Project Code and Name ]],PAProjects5[[#This Row],[LINKING_CODE]],MasterTable[Funding Source],"GoU Funded")/10^9</f>
        <v>0</v>
      </c>
      <c r="S66" s="108">
        <f>SUMIFS(MasterTable[Arrears + All Contractual Commitments (value next FY)],MasterTable[[Project Code and Name ]],PAProjects5[[#This Row],[LINKING_CODE]],MasterTable[Funding Source],"External Financing")/10^9</f>
        <v>55.762999999999998</v>
      </c>
      <c r="T66" s="49">
        <f>PAProjects[[#This Row],[GOU 21/22]]+PAProjects[[#This Row],[DONOR 21/22]]</f>
        <v>55.762999999999998</v>
      </c>
      <c r="U66" s="107">
        <f>SUMIFS(MasterTable[FY1 (FY22-23)],MasterTable[[Project Code and Name ]],PAProjects5[[#This Row],[LINKING_CODE]],MasterTable[Funding Source],"GoU Funded")/10^9</f>
        <v>0</v>
      </c>
      <c r="V66" s="52">
        <f>SUMIFS(MasterTable[FY1 (FY22-23)],MasterTable[[Project Code and Name ]],PAProjects5[[#This Row],[LINKING_CODE]],MasterTable[Funding Source],"External Financing")/10^9</f>
        <v>0</v>
      </c>
      <c r="W66" s="49">
        <f>PAProjects[[#This Row],[GOU 22/23]]+PAProjects[[#This Row],[DONOR 22/23]]</f>
        <v>0</v>
      </c>
      <c r="X66" s="52">
        <f>SUMIFS(MasterTable[FY2 (FY23-24)],MasterTable[[Project Code and Name ]],PAProjects5[[#This Row],[LINKING_CODE]],MasterTable[Funding Source],"GoU Funded")/10^9</f>
        <v>0</v>
      </c>
      <c r="Y66" s="52">
        <f>SUMIFS(MasterTable[FY2 (FY23-24)],MasterTable[[Project Code and Name ]],PAProjects5[[#This Row],[LINKING_CODE]],MasterTable[Funding Source],"External Financing")/10^9</f>
        <v>0</v>
      </c>
      <c r="Z66" s="2">
        <f t="shared" si="3"/>
        <v>0</v>
      </c>
      <c r="AA66" s="52">
        <f>SUMIFS(MasterTable[FY3 (FY24-25)],MasterTable[[Project Code and Name ]],PAProjects5[[#This Row],[LINKING_CODE]],MasterTable[Funding Source],"GoU Funded")/10^9</f>
        <v>0</v>
      </c>
      <c r="AB66" s="52">
        <f>SUMIFS(MasterTable[FY3 (FY24-25)],MasterTable[[Project Code and Name ]],PAProjects5[[#This Row],[LINKING_CODE]],MasterTable[Funding Source],"External Financing")/10^9</f>
        <v>0</v>
      </c>
      <c r="AC66" s="49">
        <f>PAProjects[[#This Row],[GOU 24/25]]+PAProjects[[#This Row],[DONOR 24/25]]</f>
        <v>0</v>
      </c>
    </row>
    <row r="67" spans="1:29" ht="15" hidden="1" customHeight="1" x14ac:dyDescent="0.25">
      <c r="A67" s="21" t="s">
        <v>283</v>
      </c>
      <c r="B67" s="2" t="s">
        <v>49</v>
      </c>
      <c r="C67" s="2" t="e">
        <f ca="1">PAProjects5[[#This Row],[LINKING_CODE]]=_xlfn.CONCAT(PAProjects5[[#This Row],[Project Code]]," ",PAProjects5[[#This Row],[Project Name]])</f>
        <v>#NAME?</v>
      </c>
      <c r="D67" s="2" t="str">
        <f>VLOOKUP(PAProjects5[[#This Row],[LINKING_CODE]],MasterTable[[Project Code and Name ]],1,FALSE)</f>
        <v xml:space="preserve">1429 ORIO Mini Hydro Power and Rural Electrification Project </v>
      </c>
      <c r="E67" s="2" t="s">
        <v>513</v>
      </c>
      <c r="F67" s="2" t="s">
        <v>1089</v>
      </c>
      <c r="G67" s="2" t="s">
        <v>66</v>
      </c>
      <c r="H67" s="2" t="s">
        <v>1251</v>
      </c>
      <c r="I67" s="2" t="s">
        <v>1255</v>
      </c>
      <c r="J67" s="2" t="s">
        <v>1256</v>
      </c>
      <c r="K67" s="2" t="s">
        <v>1509</v>
      </c>
      <c r="L67" s="23">
        <v>42917</v>
      </c>
      <c r="M67" s="23">
        <v>44742</v>
      </c>
      <c r="N67" s="30">
        <v>153</v>
      </c>
      <c r="O67" s="20"/>
      <c r="P67" s="20">
        <f t="shared" si="0"/>
        <v>153</v>
      </c>
      <c r="Q67" s="53">
        <f>SUMIFS(MasterTable[Estimate of Arrears at end of the current FY 2020/21 (value)],MasterTable[[Project Code and Name ]],PAProjects5[[#This Row],[LINKING_CODE]],MasterTable[Funding Source],"GoU Funded")/10^9</f>
        <v>0</v>
      </c>
      <c r="R67" s="108">
        <f>SUMIFS(MasterTable[Arrears + All Contractual Commitments (value next FY)],MasterTable[[Project Code and Name ]],PAProjects5[[#This Row],[LINKING_CODE]],MasterTable[Funding Source],"GoU Funded")/10^9</f>
        <v>8</v>
      </c>
      <c r="S67" s="108">
        <f>SUMIFS(MasterTable[Arrears + All Contractual Commitments (value next FY)],MasterTable[[Project Code and Name ]],PAProjects5[[#This Row],[LINKING_CODE]],MasterTable[Funding Source],"External Financing")/10^9</f>
        <v>0</v>
      </c>
      <c r="T67" s="49">
        <f>PAProjects[[#This Row],[GOU 21/22]]+PAProjects[[#This Row],[DONOR 21/22]]</f>
        <v>8</v>
      </c>
      <c r="U67" s="107">
        <f>SUMIFS(MasterTable[FY1 (FY22-23)],MasterTable[[Project Code and Name ]],PAProjects5[[#This Row],[LINKING_CODE]],MasterTable[Funding Source],"GoU Funded")/10^9</f>
        <v>0</v>
      </c>
      <c r="V67" s="52">
        <f>SUMIFS(MasterTable[FY1 (FY22-23)],MasterTable[[Project Code and Name ]],PAProjects5[[#This Row],[LINKING_CODE]],MasterTable[Funding Source],"External Financing")/10^9</f>
        <v>0</v>
      </c>
      <c r="W67" s="49">
        <f>PAProjects[[#This Row],[GOU 22/23]]+PAProjects[[#This Row],[DONOR 22/23]]</f>
        <v>0</v>
      </c>
      <c r="X67" s="52">
        <f>SUMIFS(MasterTable[FY2 (FY23-24)],MasterTable[[Project Code and Name ]],PAProjects5[[#This Row],[LINKING_CODE]],MasterTable[Funding Source],"GoU Funded")/10^9</f>
        <v>0</v>
      </c>
      <c r="Y67" s="52">
        <f>SUMIFS(MasterTable[FY2 (FY23-24)],MasterTable[[Project Code and Name ]],PAProjects5[[#This Row],[LINKING_CODE]],MasterTable[Funding Source],"External Financing")/10^9</f>
        <v>0</v>
      </c>
      <c r="Z67" s="2">
        <f t="shared" si="3"/>
        <v>0</v>
      </c>
      <c r="AA67" s="52">
        <f>SUMIFS(MasterTable[FY3 (FY24-25)],MasterTable[[Project Code and Name ]],PAProjects5[[#This Row],[LINKING_CODE]],MasterTable[Funding Source],"GoU Funded")/10^9</f>
        <v>0</v>
      </c>
      <c r="AB67" s="52">
        <f>SUMIFS(MasterTable[FY3 (FY24-25)],MasterTable[[Project Code and Name ]],PAProjects5[[#This Row],[LINKING_CODE]],MasterTable[Funding Source],"External Financing")/10^9</f>
        <v>0</v>
      </c>
      <c r="AC67" s="49">
        <f>PAProjects[[#This Row],[GOU 24/25]]+PAProjects[[#This Row],[DONOR 24/25]]</f>
        <v>0</v>
      </c>
    </row>
    <row r="68" spans="1:29" ht="15" hidden="1" customHeight="1" x14ac:dyDescent="0.25">
      <c r="A68" s="21" t="s">
        <v>611</v>
      </c>
      <c r="B68" s="2" t="s">
        <v>467</v>
      </c>
      <c r="C68" s="2" t="e">
        <f ca="1">PAProjects5[[#This Row],[LINKING_CODE]]=_xlfn.CONCAT(PAProjects5[[#This Row],[Project Code]]," ",PAProjects5[[#This Row],[Project Name]])</f>
        <v>#NAME?</v>
      </c>
      <c r="D68" s="2" t="str">
        <f>VLOOKUP(PAProjects5[[#This Row],[LINKING_CODE]],MasterTable[[Project Code and Name ]],1,FALSE)</f>
        <v>1432 OFID Funded Vocational Project Phase II</v>
      </c>
      <c r="E68" s="2" t="s">
        <v>519</v>
      </c>
      <c r="F68" s="2" t="s">
        <v>960</v>
      </c>
      <c r="G68" s="2" t="s">
        <v>961</v>
      </c>
      <c r="H68" s="2" t="s">
        <v>962</v>
      </c>
      <c r="I68" s="2" t="s">
        <v>681</v>
      </c>
      <c r="J68" s="2" t="s">
        <v>968</v>
      </c>
      <c r="K68" s="2" t="s">
        <v>1509</v>
      </c>
      <c r="L68" s="23">
        <v>42917</v>
      </c>
      <c r="M68" s="23">
        <v>44742</v>
      </c>
      <c r="N68" s="24">
        <v>7.593</v>
      </c>
      <c r="O68" s="25">
        <v>54.366</v>
      </c>
      <c r="P68" s="20">
        <f t="shared" si="0"/>
        <v>61.959000000000003</v>
      </c>
      <c r="Q68" s="53">
        <f>SUMIFS(MasterTable[Estimate of Arrears at end of the current FY 2020/21 (value)],MasterTable[[Project Code and Name ]],PAProjects5[[#This Row],[LINKING_CODE]],MasterTable[Funding Source],"GoU Funded")/10^9</f>
        <v>0</v>
      </c>
      <c r="R68" s="108">
        <f>SUMIFS(MasterTable[Arrears + All Contractual Commitments (value next FY)],MasterTable[[Project Code and Name ]],PAProjects5[[#This Row],[LINKING_CODE]],MasterTable[Funding Source],"GoU Funded")/10^9</f>
        <v>0</v>
      </c>
      <c r="S68" s="108">
        <f>SUMIFS(MasterTable[Arrears + All Contractual Commitments (value next FY)],MasterTable[[Project Code and Name ]],PAProjects5[[#This Row],[LINKING_CODE]],MasterTable[Funding Source],"External Financing")/10^9</f>
        <v>58.06</v>
      </c>
      <c r="T68" s="49">
        <f>PAProjects[[#This Row],[GOU 21/22]]+PAProjects[[#This Row],[DONOR 21/22]]</f>
        <v>58.06</v>
      </c>
      <c r="U68" s="107">
        <f>SUMIFS(MasterTable[FY1 (FY22-23)],MasterTable[[Project Code and Name ]],PAProjects5[[#This Row],[LINKING_CODE]],MasterTable[Funding Source],"GoU Funded")/10^9</f>
        <v>0</v>
      </c>
      <c r="V68" s="52">
        <f>SUMIFS(MasterTable[FY1 (FY22-23)],MasterTable[[Project Code and Name ]],PAProjects5[[#This Row],[LINKING_CODE]],MasterTable[Funding Source],"External Financing")/10^9</f>
        <v>0</v>
      </c>
      <c r="W68" s="49">
        <f>PAProjects[[#This Row],[GOU 22/23]]+PAProjects[[#This Row],[DONOR 22/23]]</f>
        <v>0</v>
      </c>
      <c r="X68" s="52">
        <f>SUMIFS(MasterTable[FY2 (FY23-24)],MasterTable[[Project Code and Name ]],PAProjects5[[#This Row],[LINKING_CODE]],MasterTable[Funding Source],"GoU Funded")/10^9</f>
        <v>0</v>
      </c>
      <c r="Y68" s="52">
        <f>SUMIFS(MasterTable[FY2 (FY23-24)],MasterTable[[Project Code and Name ]],PAProjects5[[#This Row],[LINKING_CODE]],MasterTable[Funding Source],"External Financing")/10^9</f>
        <v>0</v>
      </c>
      <c r="Z68" s="2">
        <f t="shared" si="3"/>
        <v>0</v>
      </c>
      <c r="AA68" s="52">
        <f>SUMIFS(MasterTable[FY3 (FY24-25)],MasterTable[[Project Code and Name ]],PAProjects5[[#This Row],[LINKING_CODE]],MasterTable[Funding Source],"GoU Funded")/10^9</f>
        <v>0</v>
      </c>
      <c r="AB68" s="52">
        <f>SUMIFS(MasterTable[FY3 (FY24-25)],MasterTable[[Project Code and Name ]],PAProjects5[[#This Row],[LINKING_CODE]],MasterTable[Funding Source],"External Financing")/10^9</f>
        <v>0</v>
      </c>
      <c r="AC68" s="49">
        <f>PAProjects[[#This Row],[GOU 24/25]]+PAProjects[[#This Row],[DONOR 24/25]]</f>
        <v>0</v>
      </c>
    </row>
    <row r="69" spans="1:29" ht="15" hidden="1" customHeight="1" x14ac:dyDescent="0.25">
      <c r="A69" s="21" t="s">
        <v>636</v>
      </c>
      <c r="B69" s="2" t="s">
        <v>79</v>
      </c>
      <c r="C69" s="2" t="e">
        <f ca="1">PAProjects5[[#This Row],[LINKING_CODE]]=_xlfn.CONCAT(PAProjects5[[#This Row],[Project Code]]," ",PAProjects5[[#This Row],[Project Name]])</f>
        <v>#NAME?</v>
      </c>
      <c r="D69" s="2" t="str">
        <f>VLOOKUP(PAProjects5[[#This Row],[LINKING_CODE]],MasterTable[[Project Code and Name ]],1,FALSE)</f>
        <v>1436 GAVI Vaccines and Health Sector Development Plan Support</v>
      </c>
      <c r="E69" s="2" t="s">
        <v>520</v>
      </c>
      <c r="F69" s="2" t="s">
        <v>975</v>
      </c>
      <c r="G69" s="2" t="s">
        <v>97</v>
      </c>
      <c r="H69" s="2" t="s">
        <v>962</v>
      </c>
      <c r="I69" s="2" t="s">
        <v>707</v>
      </c>
      <c r="J69" s="2" t="s">
        <v>708</v>
      </c>
      <c r="K69" s="2" t="s">
        <v>1509</v>
      </c>
      <c r="L69" s="23">
        <v>42917</v>
      </c>
      <c r="M69" s="23">
        <v>44742</v>
      </c>
      <c r="N69" s="24">
        <v>103.70399999999999</v>
      </c>
      <c r="O69" s="25">
        <v>441.18900000000002</v>
      </c>
      <c r="P69" s="20">
        <f t="shared" si="0"/>
        <v>544.89300000000003</v>
      </c>
      <c r="Q69" s="53">
        <f>SUMIFS(MasterTable[Estimate of Arrears at end of the current FY 2020/21 (value)],MasterTable[[Project Code and Name ]],PAProjects5[[#This Row],[LINKING_CODE]],MasterTable[Funding Source],"GoU Funded")/10^9</f>
        <v>0</v>
      </c>
      <c r="R69" s="108">
        <f>SUMIFS(MasterTable[Arrears + All Contractual Commitments (value next FY)],MasterTable[[Project Code and Name ]],PAProjects5[[#This Row],[LINKING_CODE]],MasterTable[Funding Source],"GoU Funded")/10^9</f>
        <v>16</v>
      </c>
      <c r="S69" s="108">
        <f>SUMIFS(MasterTable[Arrears + All Contractual Commitments (value next FY)],MasterTable[[Project Code and Name ]],PAProjects5[[#This Row],[LINKING_CODE]],MasterTable[Funding Source],"External Financing")/10^9</f>
        <v>36.729999999999997</v>
      </c>
      <c r="T69" s="49">
        <f>PAProjects[[#This Row],[GOU 21/22]]+PAProjects[[#This Row],[DONOR 21/22]]</f>
        <v>52.73</v>
      </c>
      <c r="U69" s="107">
        <f>SUMIFS(MasterTable[FY1 (FY22-23)],MasterTable[[Project Code and Name ]],PAProjects5[[#This Row],[LINKING_CODE]],MasterTable[Funding Source],"GoU Funded")/10^9</f>
        <v>0</v>
      </c>
      <c r="V69" s="52">
        <f>SUMIFS(MasterTable[FY1 (FY22-23)],MasterTable[[Project Code and Name ]],PAProjects5[[#This Row],[LINKING_CODE]],MasterTable[Funding Source],"External Financing")/10^9</f>
        <v>0</v>
      </c>
      <c r="W69" s="49">
        <f>PAProjects[[#This Row],[GOU 22/23]]+PAProjects[[#This Row],[DONOR 22/23]]</f>
        <v>0</v>
      </c>
      <c r="X69" s="52">
        <f>SUMIFS(MasterTable[FY2 (FY23-24)],MasterTable[[Project Code and Name ]],PAProjects5[[#This Row],[LINKING_CODE]],MasterTable[Funding Source],"GoU Funded")/10^9</f>
        <v>0</v>
      </c>
      <c r="Y69" s="52">
        <f>SUMIFS(MasterTable[FY2 (FY23-24)],MasterTable[[Project Code and Name ]],PAProjects5[[#This Row],[LINKING_CODE]],MasterTable[Funding Source],"External Financing")/10^9</f>
        <v>0</v>
      </c>
      <c r="Z69" s="2">
        <f t="shared" si="3"/>
        <v>0</v>
      </c>
      <c r="AA69" s="52">
        <f>SUMIFS(MasterTable[FY3 (FY24-25)],MasterTable[[Project Code and Name ]],PAProjects5[[#This Row],[LINKING_CODE]],MasterTable[Funding Source],"GoU Funded")/10^9</f>
        <v>0</v>
      </c>
      <c r="AB69" s="52">
        <f>SUMIFS(MasterTable[FY3 (FY24-25)],MasterTable[[Project Code and Name ]],PAProjects5[[#This Row],[LINKING_CODE]],MasterTable[Funding Source],"External Financing")/10^9</f>
        <v>0</v>
      </c>
      <c r="AC69" s="49">
        <f>PAProjects[[#This Row],[GOU 24/25]]+PAProjects[[#This Row],[DONOR 24/25]]</f>
        <v>0</v>
      </c>
    </row>
    <row r="70" spans="1:29" ht="15" hidden="1" customHeight="1" x14ac:dyDescent="0.25">
      <c r="A70" s="21" t="s">
        <v>639</v>
      </c>
      <c r="B70" s="2" t="s">
        <v>82</v>
      </c>
      <c r="C70" s="2" t="e">
        <f ca="1">PAProjects5[[#This Row],[LINKING_CODE]]=_xlfn.CONCAT(PAProjects5[[#This Row],[Project Code]]," ",PAProjects5[[#This Row],[Project Name]])</f>
        <v>#NAME?</v>
      </c>
      <c r="D70" s="2" t="str">
        <f>VLOOKUP(PAProjects5[[#This Row],[LINKING_CODE]],MasterTable[[Project Code and Name ]],1,FALSE)</f>
        <v>1440 Uganda Reproductive Maternal and Child Health Services Improvement Project</v>
      </c>
      <c r="E70" s="2" t="s">
        <v>520</v>
      </c>
      <c r="F70" s="2" t="s">
        <v>975</v>
      </c>
      <c r="G70" s="2" t="s">
        <v>97</v>
      </c>
      <c r="H70" s="2" t="s">
        <v>962</v>
      </c>
      <c r="I70" s="2" t="s">
        <v>709</v>
      </c>
      <c r="J70" s="2" t="s">
        <v>976</v>
      </c>
      <c r="K70" s="2" t="s">
        <v>1509</v>
      </c>
      <c r="L70" s="23">
        <v>42917</v>
      </c>
      <c r="M70" s="23">
        <v>44742</v>
      </c>
      <c r="N70" s="24">
        <v>0.05</v>
      </c>
      <c r="O70" s="25">
        <v>475.99</v>
      </c>
      <c r="P70" s="20">
        <f t="shared" ref="P70:P133" si="4">SUM(N70:O70)</f>
        <v>476.04</v>
      </c>
      <c r="Q70" s="53">
        <f>SUMIFS(MasterTable[Estimate of Arrears at end of the current FY 2020/21 (value)],MasterTable[[Project Code and Name ]],PAProjects5[[#This Row],[LINKING_CODE]],MasterTable[Funding Source],"GoU Funded")/10^9</f>
        <v>0</v>
      </c>
      <c r="R70" s="108">
        <f>SUMIFS(MasterTable[Arrears + All Contractual Commitments (value next FY)],MasterTable[[Project Code and Name ]],PAProjects5[[#This Row],[LINKING_CODE]],MasterTable[Funding Source],"GoU Funded")/10^9</f>
        <v>0.2</v>
      </c>
      <c r="S70" s="108">
        <f>SUMIFS(MasterTable[Arrears + All Contractual Commitments (value next FY)],MasterTable[[Project Code and Name ]],PAProjects5[[#This Row],[LINKING_CODE]],MasterTable[Funding Source],"External Financing")/10^9</f>
        <v>242.97066760000001</v>
      </c>
      <c r="T70" s="49">
        <f>PAProjects[[#This Row],[GOU 21/22]]+PAProjects[[#This Row],[DONOR 21/22]]</f>
        <v>243.1706676</v>
      </c>
      <c r="U70" s="107">
        <f>SUMIFS(MasterTable[FY1 (FY22-23)],MasterTable[[Project Code and Name ]],PAProjects5[[#This Row],[LINKING_CODE]],MasterTable[Funding Source],"GoU Funded")/10^9</f>
        <v>0</v>
      </c>
      <c r="V70" s="52">
        <f>SUMIFS(MasterTable[FY1 (FY22-23)],MasterTable[[Project Code and Name ]],PAProjects5[[#This Row],[LINKING_CODE]],MasterTable[Funding Source],"External Financing")/10^9</f>
        <v>0</v>
      </c>
      <c r="W70" s="49">
        <f>PAProjects[[#This Row],[GOU 22/23]]+PAProjects[[#This Row],[DONOR 22/23]]</f>
        <v>0</v>
      </c>
      <c r="X70" s="52">
        <f>SUMIFS(MasterTable[FY2 (FY23-24)],MasterTable[[Project Code and Name ]],PAProjects5[[#This Row],[LINKING_CODE]],MasterTable[Funding Source],"GoU Funded")/10^9</f>
        <v>0</v>
      </c>
      <c r="Y70" s="52">
        <f>SUMIFS(MasterTable[FY2 (FY23-24)],MasterTable[[Project Code and Name ]],PAProjects5[[#This Row],[LINKING_CODE]],MasterTable[Funding Source],"External Financing")/10^9</f>
        <v>0</v>
      </c>
      <c r="Z70" s="2">
        <f t="shared" si="3"/>
        <v>0</v>
      </c>
      <c r="AA70" s="52">
        <f>SUMIFS(MasterTable[FY3 (FY24-25)],MasterTable[[Project Code and Name ]],PAProjects5[[#This Row],[LINKING_CODE]],MasterTable[Funding Source],"GoU Funded")/10^9</f>
        <v>0</v>
      </c>
      <c r="AB70" s="52">
        <f>SUMIFS(MasterTable[FY3 (FY24-25)],MasterTable[[Project Code and Name ]],PAProjects5[[#This Row],[LINKING_CODE]],MasterTable[Funding Source],"External Financing")/10^9</f>
        <v>0</v>
      </c>
      <c r="AC70" s="49">
        <f>PAProjects[[#This Row],[GOU 24/25]]+PAProjects[[#This Row],[DONOR 24/25]]</f>
        <v>0</v>
      </c>
    </row>
    <row r="71" spans="1:29" ht="15" hidden="1" customHeight="1" x14ac:dyDescent="0.25">
      <c r="A71" s="21" t="s">
        <v>271</v>
      </c>
      <c r="B71" s="2" t="s">
        <v>431</v>
      </c>
      <c r="C71" s="2" t="e">
        <f ca="1">PAProjects5[[#This Row],[LINKING_CODE]]=_xlfn.CONCAT(PAProjects5[[#This Row],[Project Code]]," ",PAProjects5[[#This Row],[Project Name]])</f>
        <v>#NAME?</v>
      </c>
      <c r="D71" s="2" t="str">
        <f>VLOOKUP(PAProjects5[[#This Row],[LINKING_CODE]],MasterTable[[Project Code and Name ]],1,FALSE)</f>
        <v>1456 Multinational Lake Victoria Maritime Comm. &amp;Transport Project</v>
      </c>
      <c r="E71" s="2" t="s">
        <v>515</v>
      </c>
      <c r="F71" s="2" t="s">
        <v>944</v>
      </c>
      <c r="G71" s="2" t="s">
        <v>99</v>
      </c>
      <c r="H71" s="2" t="s">
        <v>1238</v>
      </c>
      <c r="I71" s="2" t="s">
        <v>1239</v>
      </c>
      <c r="J71" s="2" t="s">
        <v>1240</v>
      </c>
      <c r="K71" s="2" t="s">
        <v>1509</v>
      </c>
      <c r="L71" s="26">
        <v>42917</v>
      </c>
      <c r="M71" s="23">
        <v>44742</v>
      </c>
      <c r="N71" s="24">
        <v>8.14</v>
      </c>
      <c r="O71" s="25">
        <v>53.28</v>
      </c>
      <c r="P71" s="20">
        <f t="shared" si="4"/>
        <v>61.42</v>
      </c>
      <c r="Q71" s="53">
        <f>SUMIFS(MasterTable[Estimate of Arrears at end of the current FY 2020/21 (value)],MasterTable[[Project Code and Name ]],PAProjects5[[#This Row],[LINKING_CODE]],MasterTable[Funding Source],"GoU Funded")/10^9</f>
        <v>0</v>
      </c>
      <c r="R71" s="108">
        <f>SUMIFS(MasterTable[Arrears + All Contractual Commitments (value next FY)],MasterTable[[Project Code and Name ]],PAProjects5[[#This Row],[LINKING_CODE]],MasterTable[Funding Source],"GoU Funded")/10^9</f>
        <v>2</v>
      </c>
      <c r="S71" s="108">
        <f>SUMIFS(MasterTable[Arrears + All Contractual Commitments (value next FY)],MasterTable[[Project Code and Name ]],PAProjects5[[#This Row],[LINKING_CODE]],MasterTable[Funding Source],"External Financing")/10^9</f>
        <v>5.5039999999999996</v>
      </c>
      <c r="T71" s="29">
        <f>PAProjects[[#This Row],[GOU 21/22]]+PAProjects[[#This Row],[DONOR 21/22]]</f>
        <v>7.5039999999999996</v>
      </c>
      <c r="U71" s="107">
        <f>SUMIFS(MasterTable[FY1 (FY22-23)],MasterTable[[Project Code and Name ]],PAProjects5[[#This Row],[LINKING_CODE]],MasterTable[Funding Source],"GoU Funded")/10^9</f>
        <v>5</v>
      </c>
      <c r="V71" s="52">
        <f>SUMIFS(MasterTable[FY1 (FY22-23)],MasterTable[[Project Code and Name ]],PAProjects5[[#This Row],[LINKING_CODE]],MasterTable[Funding Source],"External Financing")/10^9</f>
        <v>0</v>
      </c>
      <c r="W71" s="49">
        <f>PAProjects[[#This Row],[GOU 22/23]]+PAProjects[[#This Row],[DONOR 22/23]]</f>
        <v>5</v>
      </c>
      <c r="X71" s="52">
        <f>SUMIFS(MasterTable[FY2 (FY23-24)],MasterTable[[Project Code and Name ]],PAProjects5[[#This Row],[LINKING_CODE]],MasterTable[Funding Source],"GoU Funded")/10^9</f>
        <v>0</v>
      </c>
      <c r="Y71" s="52">
        <f>SUMIFS(MasterTable[FY2 (FY23-24)],MasterTable[[Project Code and Name ]],PAProjects5[[#This Row],[LINKING_CODE]],MasterTable[Funding Source],"External Financing")/10^9</f>
        <v>0</v>
      </c>
      <c r="Z71" s="2">
        <f t="shared" si="3"/>
        <v>0</v>
      </c>
      <c r="AA71" s="52">
        <f>SUMIFS(MasterTable[FY3 (FY24-25)],MasterTable[[Project Code and Name ]],PAProjects5[[#This Row],[LINKING_CODE]],MasterTable[Funding Source],"GoU Funded")/10^9</f>
        <v>0</v>
      </c>
      <c r="AB71" s="52">
        <f>SUMIFS(MasterTable[FY3 (FY24-25)],MasterTable[[Project Code and Name ]],PAProjects5[[#This Row],[LINKING_CODE]],MasterTable[Funding Source],"External Financing")/10^9</f>
        <v>0</v>
      </c>
      <c r="AC71" s="49">
        <f>PAProjects[[#This Row],[GOU 24/25]]+PAProjects[[#This Row],[DONOR 24/25]]</f>
        <v>0</v>
      </c>
    </row>
    <row r="72" spans="1:29" ht="15" hidden="1" customHeight="1" x14ac:dyDescent="0.25">
      <c r="A72" s="21" t="s">
        <v>549</v>
      </c>
      <c r="B72" s="2" t="s">
        <v>24</v>
      </c>
      <c r="C72" s="2" t="e">
        <f ca="1">PAProjects5[[#This Row],[LINKING_CODE]]=_xlfn.CONCAT(PAProjects5[[#This Row],[Project Code]]," ",PAProjects5[[#This Row],[Project Name]])</f>
        <v>#NAME?</v>
      </c>
      <c r="D72" s="2" t="str">
        <f>VLOOKUP(PAProjects5[[#This Row],[LINKING_CODE]],MasterTable[[Project Code and Name ]],1,FALSE)</f>
        <v>1486 Development Innitiative for Northern Uganda</v>
      </c>
      <c r="E72" s="2" t="s">
        <v>529</v>
      </c>
      <c r="F72" s="2" t="s">
        <v>934</v>
      </c>
      <c r="G72" s="2" t="s">
        <v>0</v>
      </c>
      <c r="H72" s="2" t="s">
        <v>936</v>
      </c>
      <c r="I72" s="2" t="s">
        <v>843</v>
      </c>
      <c r="J72" s="2" t="s">
        <v>935</v>
      </c>
      <c r="K72" s="2" t="s">
        <v>1509</v>
      </c>
      <c r="L72" s="23">
        <v>42917</v>
      </c>
      <c r="M72" s="23">
        <v>44742</v>
      </c>
      <c r="N72" s="24">
        <v>470.4</v>
      </c>
      <c r="O72" s="20"/>
      <c r="P72" s="20">
        <f t="shared" si="4"/>
        <v>470.4</v>
      </c>
      <c r="Q72" s="53">
        <f>SUMIFS(MasterTable[Estimate of Arrears at end of the current FY 2020/21 (value)],MasterTable[[Project Code and Name ]],PAProjects5[[#This Row],[LINKING_CODE]],MasterTable[Funding Source],"GoU Funded")/10^9</f>
        <v>0</v>
      </c>
      <c r="R72" s="108">
        <f>SUMIFS(MasterTable[Arrears + All Contractual Commitments (value next FY)],MasterTable[[Project Code and Name ]],PAProjects5[[#This Row],[LINKING_CODE]],MasterTable[Funding Source],"GoU Funded")/10^9</f>
        <v>0</v>
      </c>
      <c r="S72" s="108">
        <f>SUMIFS(MasterTable[Arrears + All Contractual Commitments (value next FY)],MasterTable[[Project Code and Name ]],PAProjects5[[#This Row],[LINKING_CODE]],MasterTable[Funding Source],"External Financing")/10^9</f>
        <v>389.81799999999998</v>
      </c>
      <c r="T72" s="49">
        <f>PAProjects[[#This Row],[GOU 21/22]]+PAProjects[[#This Row],[DONOR 21/22]]</f>
        <v>389.81799999999998</v>
      </c>
      <c r="U72" s="107">
        <f>SUMIFS(MasterTable[FY1 (FY22-23)],MasterTable[[Project Code and Name ]],PAProjects5[[#This Row],[LINKING_CODE]],MasterTable[Funding Source],"GoU Funded")/10^9</f>
        <v>0</v>
      </c>
      <c r="V72" s="52">
        <f>SUMIFS(MasterTable[FY1 (FY22-23)],MasterTable[[Project Code and Name ]],PAProjects5[[#This Row],[LINKING_CODE]],MasterTable[Funding Source],"External Financing")/10^9</f>
        <v>0</v>
      </c>
      <c r="W72" s="49">
        <f>PAProjects[[#This Row],[GOU 22/23]]+PAProjects[[#This Row],[DONOR 22/23]]</f>
        <v>0</v>
      </c>
      <c r="X72" s="52">
        <f>SUMIFS(MasterTable[FY2 (FY23-24)],MasterTable[[Project Code and Name ]],PAProjects5[[#This Row],[LINKING_CODE]],MasterTable[Funding Source],"GoU Funded")/10^9</f>
        <v>0</v>
      </c>
      <c r="Y72" s="52">
        <f>SUMIFS(MasterTable[FY2 (FY23-24)],MasterTable[[Project Code and Name ]],PAProjects5[[#This Row],[LINKING_CODE]],MasterTable[Funding Source],"External Financing")/10^9</f>
        <v>0</v>
      </c>
      <c r="Z72" s="2"/>
      <c r="AA72" s="52">
        <f>SUMIFS(MasterTable[FY3 (FY24-25)],MasterTable[[Project Code and Name ]],PAProjects5[[#This Row],[LINKING_CODE]],MasterTable[Funding Source],"GoU Funded")/10^9</f>
        <v>0</v>
      </c>
      <c r="AB72" s="52">
        <f>SUMIFS(MasterTable[FY3 (FY24-25)],MasterTable[[Project Code and Name ]],PAProjects5[[#This Row],[LINKING_CODE]],MasterTable[Funding Source],"External Financing")/10^9</f>
        <v>0</v>
      </c>
      <c r="AC72" s="49">
        <f>PAProjects[[#This Row],[GOU 24/25]]+PAProjects[[#This Row],[DONOR 24/25]]</f>
        <v>0</v>
      </c>
    </row>
    <row r="73" spans="1:29" ht="15" hidden="1" customHeight="1" x14ac:dyDescent="0.25">
      <c r="A73" s="21" t="s">
        <v>1013</v>
      </c>
      <c r="B73" s="2" t="s">
        <v>428</v>
      </c>
      <c r="C73" s="2" t="e">
        <f ca="1">PAProjects5[[#This Row],[LINKING_CODE]]=_xlfn.CONCAT(PAProjects5[[#This Row],[Project Code]]," ",PAProjects5[[#This Row],[Project Name]])</f>
        <v>#NAME?</v>
      </c>
      <c r="D73" s="2" t="str">
        <f>VLOOKUP(PAProjects5[[#This Row],[LINKING_CODE]],MasterTable[[Project Code and Name ]],1,FALSE)</f>
        <v>1489 Development of Kabaale Airport</v>
      </c>
      <c r="E73" s="2" t="s">
        <v>515</v>
      </c>
      <c r="F73" s="2" t="s">
        <v>944</v>
      </c>
      <c r="G73" s="2" t="s">
        <v>99</v>
      </c>
      <c r="H73" s="2" t="s">
        <v>1007</v>
      </c>
      <c r="I73" s="2" t="s">
        <v>1014</v>
      </c>
      <c r="J73" s="2" t="s">
        <v>600</v>
      </c>
      <c r="K73" s="2" t="s">
        <v>1509</v>
      </c>
      <c r="L73" s="26">
        <v>42917</v>
      </c>
      <c r="M73" s="23">
        <v>44742</v>
      </c>
      <c r="N73" s="24">
        <v>22.188185376</v>
      </c>
      <c r="O73" s="25">
        <v>1220.4010379599999</v>
      </c>
      <c r="P73" s="20">
        <f t="shared" si="4"/>
        <v>1242.589223336</v>
      </c>
      <c r="Q73" s="53">
        <f>SUMIFS(MasterTable[Estimate of Arrears at end of the current FY 2020/21 (value)],MasterTable[[Project Code and Name ]],PAProjects5[[#This Row],[LINKING_CODE]],MasterTable[Funding Source],"GoU Funded")/10^9</f>
        <v>0</v>
      </c>
      <c r="R73" s="108">
        <f>SUMIFS(MasterTable[Arrears + All Contractual Commitments (value next FY)],MasterTable[[Project Code and Name ]],PAProjects5[[#This Row],[LINKING_CODE]],MasterTable[Funding Source],"GoU Funded")/10^9</f>
        <v>3</v>
      </c>
      <c r="S73" s="108">
        <f>SUMIFS(MasterTable[Arrears + All Contractual Commitments (value next FY)],MasterTable[[Project Code and Name ]],PAProjects5[[#This Row],[LINKING_CODE]],MasterTable[Funding Source],"External Financing")/10^9</f>
        <v>58.972000000000001</v>
      </c>
      <c r="T73" s="39">
        <f>PAProjects[[#This Row],[GOU 21/22]]+PAProjects[[#This Row],[DONOR 21/22]]</f>
        <v>61.972000000000001</v>
      </c>
      <c r="U73" s="107">
        <f>SUMIFS(MasterTable[FY1 (FY22-23)],MasterTable[[Project Code and Name ]],PAProjects5[[#This Row],[LINKING_CODE]],MasterTable[Funding Source],"GoU Funded")/10^9</f>
        <v>6</v>
      </c>
      <c r="V73" s="52">
        <f>SUMIFS(MasterTable[FY1 (FY22-23)],MasterTable[[Project Code and Name ]],PAProjects5[[#This Row],[LINKING_CODE]],MasterTable[Funding Source],"External Financing")/10^9</f>
        <v>465</v>
      </c>
      <c r="W73" s="49">
        <f>PAProjects[[#This Row],[GOU 22/23]]+PAProjects[[#This Row],[DONOR 22/23]]</f>
        <v>471</v>
      </c>
      <c r="X73" s="52">
        <f>SUMIFS(MasterTable[FY2 (FY23-24)],MasterTable[[Project Code and Name ]],PAProjects5[[#This Row],[LINKING_CODE]],MasterTable[Funding Source],"GoU Funded")/10^9</f>
        <v>0</v>
      </c>
      <c r="Y73" s="52">
        <f>SUMIFS(MasterTable[FY2 (FY23-24)],MasterTable[[Project Code and Name ]],PAProjects5[[#This Row],[LINKING_CODE]],MasterTable[Funding Source],"External Financing")/10^9</f>
        <v>0</v>
      </c>
      <c r="Z73" s="2">
        <f t="shared" ref="Z73:Z78" si="5">X73+Y73</f>
        <v>0</v>
      </c>
      <c r="AA73" s="52">
        <f>SUMIFS(MasterTable[FY3 (FY24-25)],MasterTable[[Project Code and Name ]],PAProjects5[[#This Row],[LINKING_CODE]],MasterTable[Funding Source],"GoU Funded")/10^9</f>
        <v>0</v>
      </c>
      <c r="AB73" s="52">
        <f>SUMIFS(MasterTable[FY3 (FY24-25)],MasterTable[[Project Code and Name ]],PAProjects5[[#This Row],[LINKING_CODE]],MasterTable[Funding Source],"External Financing")/10^9</f>
        <v>0</v>
      </c>
      <c r="AC73" s="49">
        <f>PAProjects[[#This Row],[GOU 24/25]]+PAProjects[[#This Row],[DONOR 24/25]]</f>
        <v>0</v>
      </c>
    </row>
    <row r="74" spans="1:29" ht="15" hidden="1" customHeight="1" x14ac:dyDescent="0.25">
      <c r="A74" s="21" t="s">
        <v>117</v>
      </c>
      <c r="B74" s="2" t="s">
        <v>407</v>
      </c>
      <c r="C74" s="2" t="e">
        <f ca="1">PAProjects5[[#This Row],[LINKING_CODE]]=_xlfn.CONCAT(PAProjects5[[#This Row],[Project Code]]," ",PAProjects5[[#This Row],[Project Name]])</f>
        <v>#NAME?</v>
      </c>
      <c r="D74" s="2" t="str">
        <f>VLOOKUP(PAProjects5[[#This Row],[LINKING_CODE]],MasterTable[[Project Code and Name ]],1,FALSE)</f>
        <v>1490 Luwero- Butalangu</v>
      </c>
      <c r="E74" s="2" t="s">
        <v>515</v>
      </c>
      <c r="F74" s="2" t="s">
        <v>944</v>
      </c>
      <c r="G74" s="2" t="s">
        <v>113</v>
      </c>
      <c r="H74" s="2" t="s">
        <v>1007</v>
      </c>
      <c r="I74" s="2" t="s">
        <v>1068</v>
      </c>
      <c r="J74" s="2" t="s">
        <v>1069</v>
      </c>
      <c r="K74" s="2" t="s">
        <v>1509</v>
      </c>
      <c r="L74" s="26">
        <v>42917</v>
      </c>
      <c r="M74" s="23">
        <v>44742</v>
      </c>
      <c r="N74" s="24">
        <v>96.9</v>
      </c>
      <c r="O74" s="25">
        <v>13.2</v>
      </c>
      <c r="P74" s="20">
        <f t="shared" si="4"/>
        <v>110.10000000000001</v>
      </c>
      <c r="Q74" s="53">
        <f>SUMIFS(MasterTable[Estimate of Arrears at end of the current FY 2020/21 (value)],MasterTable[[Project Code and Name ]],PAProjects5[[#This Row],[LINKING_CODE]],MasterTable[Funding Source],"GoU Funded")/10^9</f>
        <v>0</v>
      </c>
      <c r="R74" s="108">
        <f>SUMIFS(MasterTable[Arrears + All Contractual Commitments (value next FY)],MasterTable[[Project Code and Name ]],PAProjects5[[#This Row],[LINKING_CODE]],MasterTable[Funding Source],"GoU Funded")/10^9</f>
        <v>0.1</v>
      </c>
      <c r="S74" s="108">
        <f>SUMIFS(MasterTable[Arrears + All Contractual Commitments (value next FY)],MasterTable[[Project Code and Name ]],PAProjects5[[#This Row],[LINKING_CODE]],MasterTable[Funding Source],"External Financing")/10^9</f>
        <v>37.764234999999999</v>
      </c>
      <c r="T74" s="49">
        <f>PAProjects[[#This Row],[GOU 21/22]]+PAProjects[[#This Row],[DONOR 21/22]]</f>
        <v>37.864235000000001</v>
      </c>
      <c r="U74" s="107">
        <f>SUMIFS(MasterTable[FY1 (FY22-23)],MasterTable[[Project Code and Name ]],PAProjects5[[#This Row],[LINKING_CODE]],MasterTable[Funding Source],"GoU Funded")/10^9</f>
        <v>0</v>
      </c>
      <c r="V74" s="52">
        <f>SUMIFS(MasterTable[FY1 (FY22-23)],MasterTable[[Project Code and Name ]],PAProjects5[[#This Row],[LINKING_CODE]],MasterTable[Funding Source],"External Financing")/10^9</f>
        <v>0</v>
      </c>
      <c r="W74" s="49">
        <f>PAProjects[[#This Row],[GOU 22/23]]+PAProjects[[#This Row],[DONOR 22/23]]</f>
        <v>0</v>
      </c>
      <c r="X74" s="52">
        <f>SUMIFS(MasterTable[FY2 (FY23-24)],MasterTable[[Project Code and Name ]],PAProjects5[[#This Row],[LINKING_CODE]],MasterTable[Funding Source],"GoU Funded")/10^9</f>
        <v>0</v>
      </c>
      <c r="Y74" s="52">
        <f>SUMIFS(MasterTable[FY2 (FY23-24)],MasterTable[[Project Code and Name ]],PAProjects5[[#This Row],[LINKING_CODE]],MasterTable[Funding Source],"External Financing")/10^9</f>
        <v>0</v>
      </c>
      <c r="Z74" s="2">
        <f t="shared" si="5"/>
        <v>0</v>
      </c>
      <c r="AA74" s="52">
        <f>SUMIFS(MasterTable[FY3 (FY24-25)],MasterTable[[Project Code and Name ]],PAProjects5[[#This Row],[LINKING_CODE]],MasterTable[Funding Source],"GoU Funded")/10^9</f>
        <v>0</v>
      </c>
      <c r="AB74" s="52">
        <f>SUMIFS(MasterTable[FY3 (FY24-25)],MasterTable[[Project Code and Name ]],PAProjects5[[#This Row],[LINKING_CODE]],MasterTable[Funding Source],"External Financing")/10^9</f>
        <v>0</v>
      </c>
      <c r="AC74" s="49">
        <f>PAProjects[[#This Row],[GOU 24/25]]+PAProjects[[#This Row],[DONOR 24/25]]</f>
        <v>0</v>
      </c>
    </row>
    <row r="75" spans="1:29" ht="15" hidden="1" customHeight="1" x14ac:dyDescent="0.25">
      <c r="A75" s="21" t="s">
        <v>613</v>
      </c>
      <c r="B75" s="2" t="s">
        <v>470</v>
      </c>
      <c r="C75" s="2" t="e">
        <f ca="1">PAProjects5[[#This Row],[LINKING_CODE]]=_xlfn.CONCAT(PAProjects5[[#This Row],[Project Code]]," ",PAProjects5[[#This Row],[Project Name]])</f>
        <v>#NAME?</v>
      </c>
      <c r="D75" s="2" t="str">
        <f>VLOOKUP(PAProjects5[[#This Row],[LINKING_CODE]],MasterTable[[Project Code and Name ]],1,FALSE)</f>
        <v>1491 African Centers of Excellence II</v>
      </c>
      <c r="E75" s="2" t="s">
        <v>519</v>
      </c>
      <c r="F75" s="2" t="s">
        <v>960</v>
      </c>
      <c r="G75" s="2" t="s">
        <v>961</v>
      </c>
      <c r="H75" s="2" t="s">
        <v>962</v>
      </c>
      <c r="I75" s="2" t="s">
        <v>682</v>
      </c>
      <c r="J75" s="2" t="s">
        <v>969</v>
      </c>
      <c r="K75" s="2" t="s">
        <v>1509</v>
      </c>
      <c r="L75" s="23">
        <v>42917</v>
      </c>
      <c r="M75" s="23">
        <v>44742</v>
      </c>
      <c r="N75" s="24">
        <v>0.5</v>
      </c>
      <c r="O75" s="25">
        <v>80.88</v>
      </c>
      <c r="P75" s="20">
        <f t="shared" si="4"/>
        <v>81.38</v>
      </c>
      <c r="Q75" s="53">
        <f>SUMIFS(MasterTable[Estimate of Arrears at end of the current FY 2020/21 (value)],MasterTable[[Project Code and Name ]],PAProjects5[[#This Row],[LINKING_CODE]],MasterTable[Funding Source],"GoU Funded")/10^9</f>
        <v>0</v>
      </c>
      <c r="R75" s="108">
        <f>SUMIFS(MasterTable[Arrears + All Contractual Commitments (value next FY)],MasterTable[[Project Code and Name ]],PAProjects5[[#This Row],[LINKING_CODE]],MasterTable[Funding Source],"GoU Funded")/10^9</f>
        <v>0</v>
      </c>
      <c r="S75" s="108">
        <f>SUMIFS(MasterTable[Arrears + All Contractual Commitments (value next FY)],MasterTable[[Project Code and Name ]],PAProjects5[[#This Row],[LINKING_CODE]],MasterTable[Funding Source],"External Financing")/10^9</f>
        <v>17.489999999999998</v>
      </c>
      <c r="T75" s="49">
        <f>PAProjects[[#This Row],[GOU 21/22]]+PAProjects[[#This Row],[DONOR 21/22]]</f>
        <v>17.489999999999998</v>
      </c>
      <c r="U75" s="107">
        <f>SUMIFS(MasterTable[FY1 (FY22-23)],MasterTable[[Project Code and Name ]],PAProjects5[[#This Row],[LINKING_CODE]],MasterTable[Funding Source],"GoU Funded")/10^9</f>
        <v>0</v>
      </c>
      <c r="V75" s="52">
        <f>SUMIFS(MasterTable[FY1 (FY22-23)],MasterTable[[Project Code and Name ]],PAProjects5[[#This Row],[LINKING_CODE]],MasterTable[Funding Source],"External Financing")/10^9</f>
        <v>0</v>
      </c>
      <c r="W75" s="49">
        <f>PAProjects[[#This Row],[GOU 22/23]]+PAProjects[[#This Row],[DONOR 22/23]]</f>
        <v>0</v>
      </c>
      <c r="X75" s="52">
        <f>SUMIFS(MasterTable[FY2 (FY23-24)],MasterTable[[Project Code and Name ]],PAProjects5[[#This Row],[LINKING_CODE]],MasterTable[Funding Source],"GoU Funded")/10^9</f>
        <v>0</v>
      </c>
      <c r="Y75" s="52">
        <f>SUMIFS(MasterTable[FY2 (FY23-24)],MasterTable[[Project Code and Name ]],PAProjects5[[#This Row],[LINKING_CODE]],MasterTable[Funding Source],"External Financing")/10^9</f>
        <v>0</v>
      </c>
      <c r="Z75" s="2">
        <f t="shared" si="5"/>
        <v>0</v>
      </c>
      <c r="AA75" s="52">
        <f>SUMIFS(MasterTable[FY3 (FY24-25)],MasterTable[[Project Code and Name ]],PAProjects5[[#This Row],[LINKING_CODE]],MasterTable[Funding Source],"GoU Funded")/10^9</f>
        <v>0</v>
      </c>
      <c r="AB75" s="52">
        <f>SUMIFS(MasterTable[FY3 (FY24-25)],MasterTable[[Project Code and Name ]],PAProjects5[[#This Row],[LINKING_CODE]],MasterTable[Funding Source],"External Financing")/10^9</f>
        <v>0</v>
      </c>
      <c r="AC75" s="49">
        <f>PAProjects[[#This Row],[GOU 24/25]]+PAProjects[[#This Row],[DONOR 24/25]]</f>
        <v>0</v>
      </c>
    </row>
    <row r="76" spans="1:29" ht="15" hidden="1" customHeight="1" x14ac:dyDescent="0.25">
      <c r="A76" s="21" t="s">
        <v>284</v>
      </c>
      <c r="B76" s="2" t="s">
        <v>50</v>
      </c>
      <c r="C76" s="2" t="e">
        <f ca="1">PAProjects5[[#This Row],[LINKING_CODE]]=_xlfn.CONCAT(PAProjects5[[#This Row],[Project Code]]," ",PAProjects5[[#This Row],[Project Name]])</f>
        <v>#NAME?</v>
      </c>
      <c r="D76" s="2" t="str">
        <f>VLOOKUP(PAProjects5[[#This Row],[LINKING_CODE]],MasterTable[[Project Code and Name ]],1,FALSE)</f>
        <v>1492 Kampala Metropolitan Transmission System Improvement Project</v>
      </c>
      <c r="E76" s="2" t="s">
        <v>513</v>
      </c>
      <c r="F76" s="2" t="s">
        <v>1089</v>
      </c>
      <c r="G76" s="2" t="s">
        <v>66</v>
      </c>
      <c r="H76" s="2" t="s">
        <v>1251</v>
      </c>
      <c r="I76" s="2" t="s">
        <v>1257</v>
      </c>
      <c r="J76" s="2" t="s">
        <v>570</v>
      </c>
      <c r="K76" s="2" t="s">
        <v>1509</v>
      </c>
      <c r="L76" s="23">
        <v>42917</v>
      </c>
      <c r="M76" s="23">
        <v>44742</v>
      </c>
      <c r="N76" s="30">
        <v>47.6</v>
      </c>
      <c r="O76" s="31">
        <v>437.85</v>
      </c>
      <c r="P76" s="20">
        <f t="shared" si="4"/>
        <v>485.45000000000005</v>
      </c>
      <c r="Q76" s="53">
        <f>SUMIFS(MasterTable[Estimate of Arrears at end of the current FY 2020/21 (value)],MasterTable[[Project Code and Name ]],PAProjects5[[#This Row],[LINKING_CODE]],MasterTable[Funding Source],"GoU Funded")/10^9</f>
        <v>0</v>
      </c>
      <c r="R76" s="108">
        <f>SUMIFS(MasterTable[Arrears + All Contractual Commitments (value next FY)],MasterTable[[Project Code and Name ]],PAProjects5[[#This Row],[LINKING_CODE]],MasterTable[Funding Source],"GoU Funded")/10^9</f>
        <v>1.96</v>
      </c>
      <c r="S76" s="108">
        <f>SUMIFS(MasterTable[Arrears + All Contractual Commitments (value next FY)],MasterTable[[Project Code and Name ]],PAProjects5[[#This Row],[LINKING_CODE]],MasterTable[Funding Source],"External Financing")/10^9</f>
        <v>84.71</v>
      </c>
      <c r="T76" s="49">
        <f>PAProjects[[#This Row],[GOU 21/22]]+PAProjects[[#This Row],[DONOR 21/22]]</f>
        <v>86.669999999999987</v>
      </c>
      <c r="U76" s="107">
        <f>SUMIFS(MasterTable[FY1 (FY22-23)],MasterTable[[Project Code and Name ]],PAProjects5[[#This Row],[LINKING_CODE]],MasterTable[Funding Source],"GoU Funded")/10^9</f>
        <v>0</v>
      </c>
      <c r="V76" s="52">
        <f>SUMIFS(MasterTable[FY1 (FY22-23)],MasterTable[[Project Code and Name ]],PAProjects5[[#This Row],[LINKING_CODE]],MasterTable[Funding Source],"External Financing")/10^9</f>
        <v>0</v>
      </c>
      <c r="W76" s="49">
        <f>PAProjects[[#This Row],[GOU 22/23]]+PAProjects[[#This Row],[DONOR 22/23]]</f>
        <v>0</v>
      </c>
      <c r="X76" s="52">
        <f>SUMIFS(MasterTable[FY2 (FY23-24)],MasterTable[[Project Code and Name ]],PAProjects5[[#This Row],[LINKING_CODE]],MasterTable[Funding Source],"GoU Funded")/10^9</f>
        <v>0</v>
      </c>
      <c r="Y76" s="52">
        <f>SUMIFS(MasterTable[FY2 (FY23-24)],MasterTable[[Project Code and Name ]],PAProjects5[[#This Row],[LINKING_CODE]],MasterTable[Funding Source],"External Financing")/10^9</f>
        <v>0</v>
      </c>
      <c r="Z76" s="2">
        <f t="shared" si="5"/>
        <v>0</v>
      </c>
      <c r="AA76" s="52">
        <f>SUMIFS(MasterTable[FY3 (FY24-25)],MasterTable[[Project Code and Name ]],PAProjects5[[#This Row],[LINKING_CODE]],MasterTable[Funding Source],"GoU Funded")/10^9</f>
        <v>0</v>
      </c>
      <c r="AB76" s="52">
        <f>SUMIFS(MasterTable[FY3 (FY24-25)],MasterTable[[Project Code and Name ]],PAProjects5[[#This Row],[LINKING_CODE]],MasterTable[Funding Source],"External Financing")/10^9</f>
        <v>0</v>
      </c>
      <c r="AC76" s="49">
        <f>PAProjects[[#This Row],[GOU 24/25]]+PAProjects[[#This Row],[DONOR 24/25]]</f>
        <v>0</v>
      </c>
    </row>
    <row r="77" spans="1:29" ht="15" hidden="1" customHeight="1" x14ac:dyDescent="0.25">
      <c r="A77" s="21" t="s">
        <v>545</v>
      </c>
      <c r="B77" s="2" t="s">
        <v>377</v>
      </c>
      <c r="C77" s="2" t="e">
        <f ca="1">PAProjects5[[#This Row],[LINKING_CODE]]=_xlfn.CONCAT(PAProjects5[[#This Row],[Project Code]]," ",PAProjects5[[#This Row],[Project Name]])</f>
        <v>#NAME?</v>
      </c>
      <c r="D77" s="2" t="str">
        <f>VLOOKUP(PAProjects5[[#This Row],[LINKING_CODE]],MasterTable[[Project Code and Name ]],1,FALSE)</f>
        <v>1495 Rural Industrial Development Project (OVOP Project Phase III)</v>
      </c>
      <c r="E77" s="2" t="s">
        <v>518</v>
      </c>
      <c r="F77" s="2" t="s">
        <v>927</v>
      </c>
      <c r="G77" s="2" t="s">
        <v>98</v>
      </c>
      <c r="H77" s="2" t="s">
        <v>928</v>
      </c>
      <c r="I77" s="2" t="s">
        <v>662</v>
      </c>
      <c r="J77" s="2" t="s">
        <v>663</v>
      </c>
      <c r="K77" s="2" t="s">
        <v>1509</v>
      </c>
      <c r="L77" s="23">
        <v>42917</v>
      </c>
      <c r="M77" s="23">
        <v>44742</v>
      </c>
      <c r="N77" s="24">
        <v>167</v>
      </c>
      <c r="O77" s="20"/>
      <c r="P77" s="20">
        <f t="shared" si="4"/>
        <v>167</v>
      </c>
      <c r="Q77" s="53">
        <f>SUMIFS(MasterTable[Estimate of Arrears at end of the current FY 2020/21 (value)],MasterTable[[Project Code and Name ]],PAProjects5[[#This Row],[LINKING_CODE]],MasterTable[Funding Source],"GoU Funded")/10^9</f>
        <v>0.45</v>
      </c>
      <c r="R77" s="108">
        <f>SUMIFS(MasterTable[Arrears + All Contractual Commitments (value next FY)],MasterTable[[Project Code and Name ]],PAProjects5[[#This Row],[LINKING_CODE]],MasterTable[Funding Source],"GoU Funded")/10^9</f>
        <v>31.914359999999999</v>
      </c>
      <c r="S77" s="108">
        <f>SUMIFS(MasterTable[Arrears + All Contractual Commitments (value next FY)],MasterTable[[Project Code and Name ]],PAProjects5[[#This Row],[LINKING_CODE]],MasterTable[Funding Source],"External Financing")/10^9</f>
        <v>0</v>
      </c>
      <c r="T77" s="49">
        <f>PAProjects[[#This Row],[GOU 21/22]]+PAProjects[[#This Row],[DONOR 21/22]]</f>
        <v>31.914359999999999</v>
      </c>
      <c r="U77" s="107">
        <f>SUMIFS(MasterTable[FY1 (FY22-23)],MasterTable[[Project Code and Name ]],PAProjects5[[#This Row],[LINKING_CODE]],MasterTable[Funding Source],"GoU Funded")/10^9</f>
        <v>0</v>
      </c>
      <c r="V77" s="52">
        <f>SUMIFS(MasterTable[FY1 (FY22-23)],MasterTable[[Project Code and Name ]],PAProjects5[[#This Row],[LINKING_CODE]],MasterTable[Funding Source],"External Financing")/10^9</f>
        <v>0</v>
      </c>
      <c r="W77" s="49">
        <f>PAProjects[[#This Row],[GOU 22/23]]+PAProjects[[#This Row],[DONOR 22/23]]</f>
        <v>0</v>
      </c>
      <c r="X77" s="52">
        <f>SUMIFS(MasterTable[FY2 (FY23-24)],MasterTable[[Project Code and Name ]],PAProjects5[[#This Row],[LINKING_CODE]],MasterTable[Funding Source],"GoU Funded")/10^9</f>
        <v>0</v>
      </c>
      <c r="Y77" s="52">
        <f>SUMIFS(MasterTable[FY2 (FY23-24)],MasterTable[[Project Code and Name ]],PAProjects5[[#This Row],[LINKING_CODE]],MasterTable[Funding Source],"External Financing")/10^9</f>
        <v>0</v>
      </c>
      <c r="Z77" s="2">
        <f t="shared" si="5"/>
        <v>0</v>
      </c>
      <c r="AA77" s="52">
        <f>SUMIFS(MasterTable[FY3 (FY24-25)],MasterTable[[Project Code and Name ]],PAProjects5[[#This Row],[LINKING_CODE]],MasterTable[Funding Source],"GoU Funded")/10^9</f>
        <v>0</v>
      </c>
      <c r="AB77" s="52">
        <f>SUMIFS(MasterTable[FY3 (FY24-25)],MasterTable[[Project Code and Name ]],PAProjects5[[#This Row],[LINKING_CODE]],MasterTable[Funding Source],"External Financing")/10^9</f>
        <v>0</v>
      </c>
      <c r="AC77" s="49">
        <f>PAProjects[[#This Row],[GOU 24/25]]+PAProjects[[#This Row],[DONOR 24/25]]</f>
        <v>0</v>
      </c>
    </row>
    <row r="78" spans="1:29" ht="15" hidden="1" customHeight="1" x14ac:dyDescent="0.25">
      <c r="A78" s="21" t="s">
        <v>285</v>
      </c>
      <c r="B78" s="2" t="s">
        <v>51</v>
      </c>
      <c r="C78" s="2" t="e">
        <f ca="1">PAProjects5[[#This Row],[LINKING_CODE]]=_xlfn.CONCAT(PAProjects5[[#This Row],[Project Code]]," ",PAProjects5[[#This Row],[Project Name]])</f>
        <v>#NAME?</v>
      </c>
      <c r="D78" s="2" t="str">
        <f>VLOOKUP(PAProjects5[[#This Row],[LINKING_CODE]],MasterTable[[Project Code and Name ]],1,FALSE)</f>
        <v>1497 Masaka-Mbarara Grid Expansion Line</v>
      </c>
      <c r="E78" s="2" t="s">
        <v>513</v>
      </c>
      <c r="F78" s="2" t="s">
        <v>1089</v>
      </c>
      <c r="G78" s="2" t="s">
        <v>66</v>
      </c>
      <c r="H78" s="2" t="s">
        <v>1251</v>
      </c>
      <c r="I78" s="2" t="s">
        <v>1258</v>
      </c>
      <c r="J78" s="2" t="s">
        <v>571</v>
      </c>
      <c r="K78" s="2" t="s">
        <v>1509</v>
      </c>
      <c r="L78" s="23">
        <v>42917</v>
      </c>
      <c r="M78" s="23">
        <v>44742</v>
      </c>
      <c r="N78" s="30">
        <v>88.3</v>
      </c>
      <c r="O78" s="31">
        <v>346.77199999999999</v>
      </c>
      <c r="P78" s="20">
        <f t="shared" si="4"/>
        <v>435.072</v>
      </c>
      <c r="Q78" s="53">
        <f>SUMIFS(MasterTable[Estimate of Arrears at end of the current FY 2020/21 (value)],MasterTable[[Project Code and Name ]],PAProjects5[[#This Row],[LINKING_CODE]],MasterTable[Funding Source],"GoU Funded")/10^9</f>
        <v>0</v>
      </c>
      <c r="R78" s="108">
        <f>SUMIFS(MasterTable[Arrears + All Contractual Commitments (value next FY)],MasterTable[[Project Code and Name ]],PAProjects5[[#This Row],[LINKING_CODE]],MasterTable[Funding Source],"GoU Funded")/10^9</f>
        <v>13.33</v>
      </c>
      <c r="S78" s="108">
        <f>SUMIFS(MasterTable[Arrears + All Contractual Commitments (value next FY)],MasterTable[[Project Code and Name ]],PAProjects5[[#This Row],[LINKING_CODE]],MasterTable[Funding Source],"External Financing")/10^9</f>
        <v>15.39</v>
      </c>
      <c r="T78" s="49">
        <f>PAProjects[[#This Row],[GOU 21/22]]+PAProjects[[#This Row],[DONOR 21/22]]</f>
        <v>28.72</v>
      </c>
      <c r="U78" s="107">
        <f>SUMIFS(MasterTable[FY1 (FY22-23)],MasterTable[[Project Code and Name ]],PAProjects5[[#This Row],[LINKING_CODE]],MasterTable[Funding Source],"GoU Funded")/10^9</f>
        <v>0</v>
      </c>
      <c r="V78" s="52">
        <f>SUMIFS(MasterTable[FY1 (FY22-23)],MasterTable[[Project Code and Name ]],PAProjects5[[#This Row],[LINKING_CODE]],MasterTable[Funding Source],"External Financing")/10^9</f>
        <v>0</v>
      </c>
      <c r="W78" s="49">
        <f>PAProjects[[#This Row],[GOU 22/23]]+PAProjects[[#This Row],[DONOR 22/23]]</f>
        <v>0</v>
      </c>
      <c r="X78" s="52">
        <f>SUMIFS(MasterTable[FY2 (FY23-24)],MasterTable[[Project Code and Name ]],PAProjects5[[#This Row],[LINKING_CODE]],MasterTable[Funding Source],"GoU Funded")/10^9</f>
        <v>0</v>
      </c>
      <c r="Y78" s="52">
        <f>SUMIFS(MasterTable[FY2 (FY23-24)],MasterTable[[Project Code and Name ]],PAProjects5[[#This Row],[LINKING_CODE]],MasterTable[Funding Source],"External Financing")/10^9</f>
        <v>0</v>
      </c>
      <c r="Z78" s="2">
        <f t="shared" si="5"/>
        <v>0</v>
      </c>
      <c r="AA78" s="52">
        <f>SUMIFS(MasterTable[FY3 (FY24-25)],MasterTable[[Project Code and Name ]],PAProjects5[[#This Row],[LINKING_CODE]],MasterTable[Funding Source],"GoU Funded")/10^9</f>
        <v>0</v>
      </c>
      <c r="AB78" s="52">
        <f>SUMIFS(MasterTable[FY3 (FY24-25)],MasterTable[[Project Code and Name ]],PAProjects5[[#This Row],[LINKING_CODE]],MasterTable[Funding Source],"External Financing")/10^9</f>
        <v>0</v>
      </c>
      <c r="AC78" s="49">
        <f>PAProjects[[#This Row],[GOU 24/25]]+PAProjects[[#This Row],[DONOR 24/25]]</f>
        <v>0</v>
      </c>
    </row>
    <row r="79" spans="1:29" ht="15" hidden="1" customHeight="1" x14ac:dyDescent="0.25">
      <c r="A79" s="21" t="s">
        <v>551</v>
      </c>
      <c r="B79" s="2" t="s">
        <v>29</v>
      </c>
      <c r="C79" s="2" t="e">
        <f ca="1">PAProjects5[[#This Row],[LINKING_CODE]]=_xlfn.CONCAT(PAProjects5[[#This Row],[Project Code]]," ",PAProjects5[[#This Row],[Project Name]])</f>
        <v>#NAME?</v>
      </c>
      <c r="D79" s="2" t="str">
        <f>VLOOKUP(PAProjects5[[#This Row],[LINKING_CODE]],MasterTable[[Project Code and Name ]],1,FALSE)</f>
        <v>1499 Development Response for Displacement IMPACTS Project (DRDIP)</v>
      </c>
      <c r="E79" s="2" t="s">
        <v>529</v>
      </c>
      <c r="F79" s="2" t="s">
        <v>934</v>
      </c>
      <c r="G79" s="2" t="s">
        <v>0</v>
      </c>
      <c r="H79" s="2" t="s">
        <v>936</v>
      </c>
      <c r="I79" s="2" t="s">
        <v>844</v>
      </c>
      <c r="J79" s="2" t="s">
        <v>937</v>
      </c>
      <c r="K79" s="2" t="s">
        <v>1509</v>
      </c>
      <c r="L79" s="23">
        <v>42917</v>
      </c>
      <c r="M79" s="23">
        <v>44742</v>
      </c>
      <c r="N79" s="24"/>
      <c r="O79" s="25">
        <v>170</v>
      </c>
      <c r="P79" s="20">
        <f t="shared" si="4"/>
        <v>170</v>
      </c>
      <c r="Q79" s="53">
        <f>SUMIFS(MasterTable[Estimate of Arrears at end of the current FY 2020/21 (value)],MasterTable[[Project Code and Name ]],PAProjects5[[#This Row],[LINKING_CODE]],MasterTable[Funding Source],"GoU Funded")/10^9</f>
        <v>0</v>
      </c>
      <c r="R79" s="108">
        <f>SUMIFS(MasterTable[Arrears + All Contractual Commitments (value next FY)],MasterTable[[Project Code and Name ]],PAProjects5[[#This Row],[LINKING_CODE]],MasterTable[Funding Source],"GoU Funded")/10^9</f>
        <v>0</v>
      </c>
      <c r="S79" s="108">
        <f>SUMIFS(MasterTable[Arrears + All Contractual Commitments (value next FY)],MasterTable[[Project Code and Name ]],PAProjects5[[#This Row],[LINKING_CODE]],MasterTable[Funding Source],"External Financing")/10^9</f>
        <v>176.91</v>
      </c>
      <c r="T79" s="49">
        <f>PAProjects[[#This Row],[GOU 21/22]]+PAProjects[[#This Row],[DONOR 21/22]]</f>
        <v>176.91</v>
      </c>
      <c r="U79" s="107">
        <f>SUMIFS(MasterTable[FY1 (FY22-23)],MasterTable[[Project Code and Name ]],PAProjects5[[#This Row],[LINKING_CODE]],MasterTable[Funding Source],"GoU Funded")/10^9</f>
        <v>0</v>
      </c>
      <c r="V79" s="52">
        <f>SUMIFS(MasterTable[FY1 (FY22-23)],MasterTable[[Project Code and Name ]],PAProjects5[[#This Row],[LINKING_CODE]],MasterTable[Funding Source],"External Financing")/10^9</f>
        <v>0</v>
      </c>
      <c r="W79" s="49">
        <f>PAProjects[[#This Row],[GOU 22/23]]+PAProjects[[#This Row],[DONOR 22/23]]</f>
        <v>0</v>
      </c>
      <c r="X79" s="52">
        <f>SUMIFS(MasterTable[FY2 (FY23-24)],MasterTable[[Project Code and Name ]],PAProjects5[[#This Row],[LINKING_CODE]],MasterTable[Funding Source],"GoU Funded")/10^9</f>
        <v>0</v>
      </c>
      <c r="Y79" s="52">
        <f>SUMIFS(MasterTable[FY2 (FY23-24)],MasterTable[[Project Code and Name ]],PAProjects5[[#This Row],[LINKING_CODE]],MasterTable[Funding Source],"External Financing")/10^9</f>
        <v>0</v>
      </c>
      <c r="Z79" s="2"/>
      <c r="AA79" s="52">
        <f>SUMIFS(MasterTable[FY3 (FY24-25)],MasterTable[[Project Code and Name ]],PAProjects5[[#This Row],[LINKING_CODE]],MasterTable[Funding Source],"GoU Funded")/10^9</f>
        <v>0</v>
      </c>
      <c r="AB79" s="52">
        <f>SUMIFS(MasterTable[FY3 (FY24-25)],MasterTable[[Project Code and Name ]],PAProjects5[[#This Row],[LINKING_CODE]],MasterTable[Funding Source],"External Financing")/10^9</f>
        <v>0</v>
      </c>
      <c r="AC79" s="49">
        <f>PAProjects[[#This Row],[GOU 24/25]]+PAProjects[[#This Row],[DONOR 24/25]]</f>
        <v>0</v>
      </c>
    </row>
    <row r="80" spans="1:29" ht="15" hidden="1" customHeight="1" x14ac:dyDescent="0.25">
      <c r="A80" s="21" t="s">
        <v>577</v>
      </c>
      <c r="B80" s="2" t="s">
        <v>486</v>
      </c>
      <c r="C80" s="2" t="e">
        <f ca="1">PAProjects5[[#This Row],[LINKING_CODE]]=_xlfn.CONCAT(PAProjects5[[#This Row],[Project Code]]," ",PAProjects5[[#This Row],[Project Name]])</f>
        <v>#NAME?</v>
      </c>
      <c r="D80" s="2" t="str">
        <f>VLOOKUP(PAProjects5[[#This Row],[LINKING_CODE]],MasterTable[[Project Code and Name ]],1,FALSE)</f>
        <v>1509 Local Economic Growth (LEGS) Support Project</v>
      </c>
      <c r="E80" s="2" t="s">
        <v>540</v>
      </c>
      <c r="F80" s="2" t="s">
        <v>931</v>
      </c>
      <c r="G80" s="2" t="s">
        <v>932</v>
      </c>
      <c r="H80" s="2" t="s">
        <v>936</v>
      </c>
      <c r="I80" s="2" t="s">
        <v>938</v>
      </c>
      <c r="J80" s="2" t="s">
        <v>939</v>
      </c>
      <c r="K80" s="2" t="s">
        <v>1509</v>
      </c>
      <c r="L80" s="23">
        <v>43282</v>
      </c>
      <c r="M80" s="23">
        <v>44742</v>
      </c>
      <c r="N80" s="20">
        <v>50.4</v>
      </c>
      <c r="O80" s="20"/>
      <c r="P80" s="20">
        <f t="shared" si="4"/>
        <v>50.4</v>
      </c>
      <c r="Q80" s="53">
        <f>SUMIFS(MasterTable[Estimate of Arrears at end of the current FY 2020/21 (value)],MasterTable[[Project Code and Name ]],PAProjects5[[#This Row],[LINKING_CODE]],MasterTable[Funding Source],"GoU Funded")/10^9</f>
        <v>0</v>
      </c>
      <c r="R80" s="108">
        <f>SUMIFS(MasterTable[Arrears + All Contractual Commitments (value next FY)],MasterTable[[Project Code and Name ]],PAProjects5[[#This Row],[LINKING_CODE]],MasterTable[Funding Source],"GoU Funded")/10^9</f>
        <v>7.2960000000000003</v>
      </c>
      <c r="S80" s="108">
        <f>SUMIFS(MasterTable[Arrears + All Contractual Commitments (value next FY)],MasterTable[[Project Code and Name ]],PAProjects5[[#This Row],[LINKING_CODE]],MasterTable[Funding Source],"External Financing")/10^9</f>
        <v>50.71</v>
      </c>
      <c r="T80" s="29">
        <f>PAProjects[[#This Row],[GOU 21/22]]+PAProjects[[#This Row],[DONOR 21/22]]</f>
        <v>58.006</v>
      </c>
      <c r="U80" s="107">
        <f>SUMIFS(MasterTable[FY1 (FY22-23)],MasterTable[[Project Code and Name ]],PAProjects5[[#This Row],[LINKING_CODE]],MasterTable[Funding Source],"GoU Funded")/10^9</f>
        <v>3.6480000000000001</v>
      </c>
      <c r="V80" s="52">
        <f>SUMIFS(MasterTable[FY1 (FY22-23)],MasterTable[[Project Code and Name ]],PAProjects5[[#This Row],[LINKING_CODE]],MasterTable[Funding Source],"External Financing")/10^9</f>
        <v>43.8</v>
      </c>
      <c r="W80" s="49">
        <f>PAProjects[[#This Row],[GOU 22/23]]+PAProjects[[#This Row],[DONOR 22/23]]</f>
        <v>47.448</v>
      </c>
      <c r="X80" s="52">
        <f>SUMIFS(MasterTable[FY2 (FY23-24)],MasterTable[[Project Code and Name ]],PAProjects5[[#This Row],[LINKING_CODE]],MasterTable[Funding Source],"GoU Funded")/10^9</f>
        <v>0</v>
      </c>
      <c r="Y80" s="52">
        <f>SUMIFS(MasterTable[FY2 (FY23-24)],MasterTable[[Project Code and Name ]],PAProjects5[[#This Row],[LINKING_CODE]],MasterTable[Funding Source],"External Financing")/10^9</f>
        <v>0</v>
      </c>
      <c r="Z80" s="2"/>
      <c r="AA80" s="52">
        <f>SUMIFS(MasterTable[FY3 (FY24-25)],MasterTable[[Project Code and Name ]],PAProjects5[[#This Row],[LINKING_CODE]],MasterTable[Funding Source],"GoU Funded")/10^9</f>
        <v>0</v>
      </c>
      <c r="AB80" s="52">
        <f>SUMIFS(MasterTable[FY3 (FY24-25)],MasterTable[[Project Code and Name ]],PAProjects5[[#This Row],[LINKING_CODE]],MasterTable[Funding Source],"External Financing")/10^9</f>
        <v>0</v>
      </c>
      <c r="AC80" s="49">
        <f>PAProjects[[#This Row],[GOU 24/25]]+PAProjects[[#This Row],[DONOR 24/25]]</f>
        <v>0</v>
      </c>
    </row>
    <row r="81" spans="1:29" ht="15" hidden="1" customHeight="1" x14ac:dyDescent="0.25">
      <c r="A81" s="21" t="s">
        <v>996</v>
      </c>
      <c r="B81" s="2" t="s">
        <v>360</v>
      </c>
      <c r="C81" s="2" t="e">
        <f ca="1">PAProjects5[[#This Row],[LINKING_CODE]]=_xlfn.CONCAT(PAProjects5[[#This Row],[Project Code]]," ",PAProjects5[[#This Row],[Project Name]])</f>
        <v>#NAME?</v>
      </c>
      <c r="D81" s="2" t="str">
        <f>VLOOKUP(PAProjects5[[#This Row],[LINKING_CODE]],MasterTable[[Project Code and Name ]],1,FALSE)</f>
        <v>1511 Kiira Motors Corporation</v>
      </c>
      <c r="E81" s="2" t="s">
        <v>537</v>
      </c>
      <c r="F81" s="2" t="s">
        <v>997</v>
      </c>
      <c r="G81" s="2" t="s">
        <v>72</v>
      </c>
      <c r="H81" s="2" t="s">
        <v>1000</v>
      </c>
      <c r="I81" s="2" t="s">
        <v>998</v>
      </c>
      <c r="J81" s="2" t="s">
        <v>999</v>
      </c>
      <c r="K81" s="2" t="s">
        <v>1509</v>
      </c>
      <c r="L81" s="26">
        <v>43282</v>
      </c>
      <c r="M81" s="23">
        <v>44742</v>
      </c>
      <c r="N81" s="36">
        <v>46.417000000000002</v>
      </c>
      <c r="O81" s="37">
        <v>97.323999999999998</v>
      </c>
      <c r="P81" s="20">
        <f t="shared" si="4"/>
        <v>143.74099999999999</v>
      </c>
      <c r="Q81" s="53">
        <f>SUMIFS(MasterTable[Estimate of Arrears at end of the current FY 2020/21 (value)],MasterTable[[Project Code and Name ]],PAProjects5[[#This Row],[LINKING_CODE]],MasterTable[Funding Source],"GoU Funded")/10^9</f>
        <v>44.5</v>
      </c>
      <c r="R81" s="108">
        <f>SUMIFS(MasterTable[Arrears + All Contractual Commitments (value next FY)],MasterTable[[Project Code and Name ]],PAProjects5[[#This Row],[LINKING_CODE]],MasterTable[Funding Source],"GoU Funded")/10^9</f>
        <v>262.7</v>
      </c>
      <c r="S81" s="108">
        <f>SUMIFS(MasterTable[Arrears + All Contractual Commitments (value next FY)],MasterTable[[Project Code and Name ]],PAProjects5[[#This Row],[LINKING_CODE]],MasterTable[Funding Source],"External Financing")/10^9</f>
        <v>0</v>
      </c>
      <c r="T81" s="29">
        <f>PAProjects[[#This Row],[GOU 21/22]]+PAProjects[[#This Row],[DONOR 21/22]]</f>
        <v>262.7</v>
      </c>
      <c r="U81" s="107">
        <f>SUMIFS(MasterTable[FY1 (FY22-23)],MasterTable[[Project Code and Name ]],PAProjects5[[#This Row],[LINKING_CODE]],MasterTable[Funding Source],"GoU Funded")/10^9</f>
        <v>0</v>
      </c>
      <c r="V81" s="52">
        <f>SUMIFS(MasterTable[FY1 (FY22-23)],MasterTable[[Project Code and Name ]],PAProjects5[[#This Row],[LINKING_CODE]],MasterTable[Funding Source],"External Financing")/10^9</f>
        <v>0</v>
      </c>
      <c r="W81" s="49">
        <f>PAProjects[[#This Row],[GOU 22/23]]+PAProjects[[#This Row],[DONOR 22/23]]</f>
        <v>0</v>
      </c>
      <c r="X81" s="52">
        <f>SUMIFS(MasterTable[FY2 (FY23-24)],MasterTable[[Project Code and Name ]],PAProjects5[[#This Row],[LINKING_CODE]],MasterTable[Funding Source],"GoU Funded")/10^9</f>
        <v>0</v>
      </c>
      <c r="Y81" s="52">
        <f>SUMIFS(MasterTable[FY2 (FY23-24)],MasterTable[[Project Code and Name ]],PAProjects5[[#This Row],[LINKING_CODE]],MasterTable[Funding Source],"External Financing")/10^9</f>
        <v>0</v>
      </c>
      <c r="Z81" s="2">
        <f>SUM(X81:Y81)</f>
        <v>0</v>
      </c>
      <c r="AA81" s="52">
        <f>SUMIFS(MasterTable[FY3 (FY24-25)],MasterTable[[Project Code and Name ]],PAProjects5[[#This Row],[LINKING_CODE]],MasterTable[Funding Source],"GoU Funded")/10^9</f>
        <v>0</v>
      </c>
      <c r="AB81" s="52">
        <f>SUMIFS(MasterTable[FY3 (FY24-25)],MasterTable[[Project Code and Name ]],PAProjects5[[#This Row],[LINKING_CODE]],MasterTable[Funding Source],"External Financing")/10^9</f>
        <v>0</v>
      </c>
      <c r="AC81" s="49">
        <f>PAProjects[[#This Row],[GOU 24/25]]+PAProjects[[#This Row],[DONOR 24/25]]</f>
        <v>0</v>
      </c>
    </row>
    <row r="82" spans="1:29" ht="15" hidden="1" customHeight="1" x14ac:dyDescent="0.25">
      <c r="A82" s="21" t="s">
        <v>1015</v>
      </c>
      <c r="B82" s="2" t="s">
        <v>437</v>
      </c>
      <c r="C82" s="2" t="e">
        <f ca="1">PAProjects5[[#This Row],[LINKING_CODE]]=_xlfn.CONCAT(PAProjects5[[#This Row],[Project Code]]," ",PAProjects5[[#This Row],[Project Name]])</f>
        <v>#NAME?</v>
      </c>
      <c r="D82" s="2" t="str">
        <f>VLOOKUP(PAProjects5[[#This Row],[LINKING_CODE]],MasterTable[[Project Code and Name ]],1,FALSE)</f>
        <v>1512 Uganda National Airline Project</v>
      </c>
      <c r="E82" s="2" t="s">
        <v>515</v>
      </c>
      <c r="F82" s="2" t="s">
        <v>944</v>
      </c>
      <c r="G82" s="2" t="s">
        <v>99</v>
      </c>
      <c r="H82" s="2" t="s">
        <v>1007</v>
      </c>
      <c r="I82" s="2" t="s">
        <v>1016</v>
      </c>
      <c r="J82" s="2" t="s">
        <v>1017</v>
      </c>
      <c r="K82" s="2" t="s">
        <v>1509</v>
      </c>
      <c r="L82" s="26">
        <v>43282</v>
      </c>
      <c r="M82" s="23">
        <v>45107</v>
      </c>
      <c r="N82" s="24">
        <v>259.14</v>
      </c>
      <c r="O82" s="25">
        <v>1180.9380000000001</v>
      </c>
      <c r="P82" s="20">
        <f t="shared" si="4"/>
        <v>1440.078</v>
      </c>
      <c r="Q82" s="53">
        <f>SUMIFS(MasterTable[Estimate of Arrears at end of the current FY 2020/21 (value)],MasterTable[[Project Code and Name ]],PAProjects5[[#This Row],[LINKING_CODE]],MasterTable[Funding Source],"GoU Funded")/10^9</f>
        <v>0</v>
      </c>
      <c r="R82" s="108">
        <f>SUMIFS(MasterTable[Arrears + All Contractual Commitments (value next FY)],MasterTable[[Project Code and Name ]],PAProjects5[[#This Row],[LINKING_CODE]],MasterTable[Funding Source],"GoU Funded")/10^9</f>
        <v>142.73699999999999</v>
      </c>
      <c r="S82" s="108">
        <f>SUMIFS(MasterTable[Arrears + All Contractual Commitments (value next FY)],MasterTable[[Project Code and Name ]],PAProjects5[[#This Row],[LINKING_CODE]],MasterTable[Funding Source],"External Financing")/10^9</f>
        <v>0</v>
      </c>
      <c r="T82" s="49">
        <f>PAProjects[[#This Row],[GOU 21/22]]+PAProjects[[#This Row],[DONOR 21/22]]</f>
        <v>142.73699999999999</v>
      </c>
      <c r="U82" s="107">
        <f>SUMIFS(MasterTable[FY1 (FY22-23)],MasterTable[[Project Code and Name ]],PAProjects5[[#This Row],[LINKING_CODE]],MasterTable[Funding Source],"GoU Funded")/10^9</f>
        <v>19</v>
      </c>
      <c r="V82" s="52">
        <f>SUMIFS(MasterTable[FY1 (FY22-23)],MasterTable[[Project Code and Name ]],PAProjects5[[#This Row],[LINKING_CODE]],MasterTable[Funding Source],"External Financing")/10^9</f>
        <v>0</v>
      </c>
      <c r="W82" s="39">
        <f>PAProjects[[#This Row],[GOU 22/23]]+PAProjects[[#This Row],[DONOR 22/23]]</f>
        <v>19</v>
      </c>
      <c r="X82" s="52">
        <f>SUMIFS(MasterTable[FY2 (FY23-24)],MasterTable[[Project Code and Name ]],PAProjects5[[#This Row],[LINKING_CODE]],MasterTable[Funding Source],"GoU Funded")/10^9</f>
        <v>0</v>
      </c>
      <c r="Y82" s="52">
        <f>SUMIFS(MasterTable[FY2 (FY23-24)],MasterTable[[Project Code and Name ]],PAProjects5[[#This Row],[LINKING_CODE]],MasterTable[Funding Source],"External Financing")/10^9</f>
        <v>0</v>
      </c>
      <c r="Z82" s="2">
        <f>X82+Y82</f>
        <v>0</v>
      </c>
      <c r="AA82" s="52">
        <f>SUMIFS(MasterTable[FY3 (FY24-25)],MasterTable[[Project Code and Name ]],PAProjects5[[#This Row],[LINKING_CODE]],MasterTable[Funding Source],"GoU Funded")/10^9</f>
        <v>0</v>
      </c>
      <c r="AB82" s="52">
        <f>SUMIFS(MasterTable[FY3 (FY24-25)],MasterTable[[Project Code and Name ]],PAProjects5[[#This Row],[LINKING_CODE]],MasterTable[Funding Source],"External Financing")/10^9</f>
        <v>0</v>
      </c>
      <c r="AC82" s="49">
        <f>PAProjects[[#This Row],[GOU 24/25]]+PAProjects[[#This Row],[DONOR 24/25]]</f>
        <v>0</v>
      </c>
    </row>
    <row r="83" spans="1:29" ht="15" hidden="1" customHeight="1" x14ac:dyDescent="0.25">
      <c r="A83" s="21" t="s">
        <v>1001</v>
      </c>
      <c r="B83" s="2" t="s">
        <v>365</v>
      </c>
      <c r="C83" s="2" t="e">
        <f ca="1">PAProjects5[[#This Row],[LINKING_CODE]]=_xlfn.CONCAT(PAProjects5[[#This Row],[Project Code]]," ",PAProjects5[[#This Row],[Project Name]])</f>
        <v>#NAME?</v>
      </c>
      <c r="D83" s="2" t="str">
        <f>VLOOKUP(PAProjects5[[#This Row],[LINKING_CODE]],MasterTable[[Project Code and Name ]],1,FALSE)</f>
        <v>1513 National Science, Technology, Engineering and Innovation Skills Enhancement Project</v>
      </c>
      <c r="E83" s="2" t="s">
        <v>537</v>
      </c>
      <c r="F83" s="2" t="s">
        <v>997</v>
      </c>
      <c r="G83" s="2" t="s">
        <v>72</v>
      </c>
      <c r="H83" s="2" t="s">
        <v>1000</v>
      </c>
      <c r="I83" s="2" t="s">
        <v>1002</v>
      </c>
      <c r="J83" s="2" t="s">
        <v>1003</v>
      </c>
      <c r="K83" s="2" t="s">
        <v>1509</v>
      </c>
      <c r="L83" s="26">
        <v>43282</v>
      </c>
      <c r="M83" s="23">
        <v>44742</v>
      </c>
      <c r="N83" s="36">
        <v>114</v>
      </c>
      <c r="O83" s="37">
        <v>332</v>
      </c>
      <c r="P83" s="20">
        <f t="shared" si="4"/>
        <v>446</v>
      </c>
      <c r="Q83" s="53">
        <f>SUMIFS(MasterTable[Estimate of Arrears at end of the current FY 2020/21 (value)],MasterTable[[Project Code and Name ]],PAProjects5[[#This Row],[LINKING_CODE]],MasterTable[Funding Source],"GoU Funded")/10^9</f>
        <v>0</v>
      </c>
      <c r="R83" s="108">
        <f>SUMIFS(MasterTable[Arrears + All Contractual Commitments (value next FY)],MasterTable[[Project Code and Name ]],PAProjects5[[#This Row],[LINKING_CODE]],MasterTable[Funding Source],"GoU Funded")/10^9</f>
        <v>49.48</v>
      </c>
      <c r="S83" s="108">
        <f>SUMIFS(MasterTable[Arrears + All Contractual Commitments (value next FY)],MasterTable[[Project Code and Name ]],PAProjects5[[#This Row],[LINKING_CODE]],MasterTable[Funding Source],"External Financing")/10^9</f>
        <v>137.568815468</v>
      </c>
      <c r="T83" s="29">
        <f>PAProjects[[#This Row],[GOU 21/22]]+PAProjects[[#This Row],[DONOR 21/22]]</f>
        <v>187.04881546799999</v>
      </c>
      <c r="U83" s="107">
        <f>SUMIFS(MasterTable[FY1 (FY22-23)],MasterTable[[Project Code and Name ]],PAProjects5[[#This Row],[LINKING_CODE]],MasterTable[Funding Source],"GoU Funded")/10^9</f>
        <v>24.472000000000001</v>
      </c>
      <c r="V83" s="52">
        <f>SUMIFS(MasterTable[FY1 (FY22-23)],MasterTable[[Project Code and Name ]],PAProjects5[[#This Row],[LINKING_CODE]],MasterTable[Funding Source],"External Financing")/10^9</f>
        <v>11.319098</v>
      </c>
      <c r="W83" s="49">
        <f>PAProjects[[#This Row],[GOU 22/23]]+PAProjects[[#This Row],[DONOR 22/23]]</f>
        <v>35.791098000000005</v>
      </c>
      <c r="X83" s="52">
        <f>SUMIFS(MasterTable[FY2 (FY23-24)],MasterTable[[Project Code and Name ]],PAProjects5[[#This Row],[LINKING_CODE]],MasterTable[Funding Source],"GoU Funded")/10^9</f>
        <v>17.218</v>
      </c>
      <c r="Y83" s="52">
        <f>SUMIFS(MasterTable[FY2 (FY23-24)],MasterTable[[Project Code and Name ]],PAProjects5[[#This Row],[LINKING_CODE]],MasterTable[Funding Source],"External Financing")/10^9</f>
        <v>2.1778749999999998</v>
      </c>
      <c r="Z83" s="2">
        <f>SUM(X83:Y83)</f>
        <v>19.395875</v>
      </c>
      <c r="AA83" s="52">
        <f>SUMIFS(MasterTable[FY3 (FY24-25)],MasterTable[[Project Code and Name ]],PAProjects5[[#This Row],[LINKING_CODE]],MasterTable[Funding Source],"GoU Funded")/10^9</f>
        <v>0</v>
      </c>
      <c r="AB83" s="52">
        <f>SUMIFS(MasterTable[FY3 (FY24-25)],MasterTable[[Project Code and Name ]],PAProjects5[[#This Row],[LINKING_CODE]],MasterTable[Funding Source],"External Financing")/10^9</f>
        <v>0</v>
      </c>
      <c r="AC83" s="49">
        <f>PAProjects[[#This Row],[GOU 24/25]]+PAProjects[[#This Row],[DONOR 24/25]]</f>
        <v>0</v>
      </c>
    </row>
    <row r="84" spans="1:29" ht="15" hidden="1" customHeight="1" x14ac:dyDescent="0.25">
      <c r="A84" s="21" t="s">
        <v>293</v>
      </c>
      <c r="B84" s="2" t="s">
        <v>348</v>
      </c>
      <c r="C84" s="2" t="e">
        <f ca="1">PAProjects5[[#This Row],[LINKING_CODE]]=_xlfn.CONCAT(PAProjects5[[#This Row],[Project Code]]," ",PAProjects5[[#This Row],[Project Name]])</f>
        <v>#NAME?</v>
      </c>
      <c r="D84" s="2" t="str">
        <f>VLOOKUP(PAProjects5[[#This Row],[LINKING_CODE]],MasterTable[[Project Code and Name ]],1,FALSE)</f>
        <v>1514 Uganda Support to Municipal Infrastructure Development (USMID II)</v>
      </c>
      <c r="E84" s="2" t="s">
        <v>512</v>
      </c>
      <c r="F84" s="2" t="s">
        <v>1105</v>
      </c>
      <c r="G84" s="2" t="s">
        <v>1106</v>
      </c>
      <c r="H84" s="2" t="s">
        <v>1493</v>
      </c>
      <c r="I84" s="2" t="s">
        <v>1264</v>
      </c>
      <c r="J84" s="2" t="s">
        <v>555</v>
      </c>
      <c r="K84" s="2" t="s">
        <v>1509</v>
      </c>
      <c r="L84" s="27">
        <v>43107</v>
      </c>
      <c r="M84" s="27">
        <v>45107</v>
      </c>
      <c r="N84" s="28"/>
      <c r="O84" s="28">
        <v>1345.32</v>
      </c>
      <c r="P84" s="20">
        <f t="shared" si="4"/>
        <v>1345.32</v>
      </c>
      <c r="Q84" s="53">
        <f>SUMIFS(MasterTable[Estimate of Arrears at end of the current FY 2020/21 (value)],MasterTable[[Project Code and Name ]],PAProjects5[[#This Row],[LINKING_CODE]],MasterTable[Funding Source],"GoU Funded")/10^9</f>
        <v>0</v>
      </c>
      <c r="R84" s="108">
        <f>SUMIFS(MasterTable[Arrears + All Contractual Commitments (value next FY)],MasterTable[[Project Code and Name ]],PAProjects5[[#This Row],[LINKING_CODE]],MasterTable[Funding Source],"GoU Funded")/10^9</f>
        <v>0</v>
      </c>
      <c r="S84" s="108">
        <f>SUMIFS(MasterTable[Arrears + All Contractual Commitments (value next FY)],MasterTable[[Project Code and Name ]],PAProjects5[[#This Row],[LINKING_CODE]],MasterTable[Funding Source],"External Financing")/10^9</f>
        <v>61.884</v>
      </c>
      <c r="T84" s="49">
        <f>PAProjects[[#This Row],[GOU 21/22]]+PAProjects[[#This Row],[DONOR 21/22]]</f>
        <v>61.884</v>
      </c>
      <c r="U84" s="107">
        <f>SUMIFS(MasterTable[FY1 (FY22-23)],MasterTable[[Project Code and Name ]],PAProjects5[[#This Row],[LINKING_CODE]],MasterTable[Funding Source],"GoU Funded")/10^9</f>
        <v>0</v>
      </c>
      <c r="V84" s="52">
        <f>SUMIFS(MasterTable[FY1 (FY22-23)],MasterTable[[Project Code and Name ]],PAProjects5[[#This Row],[LINKING_CODE]],MasterTable[Funding Source],"External Financing")/10^9</f>
        <v>82.01</v>
      </c>
      <c r="W84" s="49">
        <f>PAProjects[[#This Row],[GOU 22/23]]+PAProjects[[#This Row],[DONOR 22/23]]</f>
        <v>82.01</v>
      </c>
      <c r="X84" s="52">
        <f>SUMIFS(MasterTable[FY2 (FY23-24)],MasterTable[[Project Code and Name ]],PAProjects5[[#This Row],[LINKING_CODE]],MasterTable[Funding Source],"GoU Funded")/10^9</f>
        <v>0</v>
      </c>
      <c r="Y84" s="52">
        <f>SUMIFS(MasterTable[FY2 (FY23-24)],MasterTable[[Project Code and Name ]],PAProjects5[[#This Row],[LINKING_CODE]],MasterTable[Funding Source],"External Financing")/10^9</f>
        <v>0</v>
      </c>
      <c r="Z84" s="2">
        <f t="shared" ref="Z84:Z105" si="6">X84+Y84</f>
        <v>0</v>
      </c>
      <c r="AA84" s="52">
        <f>SUMIFS(MasterTable[FY3 (FY24-25)],MasterTable[[Project Code and Name ]],PAProjects5[[#This Row],[LINKING_CODE]],MasterTable[Funding Source],"GoU Funded")/10^9</f>
        <v>0</v>
      </c>
      <c r="AB84" s="52">
        <f>SUMIFS(MasterTable[FY3 (FY24-25)],MasterTable[[Project Code and Name ]],PAProjects5[[#This Row],[LINKING_CODE]],MasterTable[Funding Source],"External Financing")/10^9</f>
        <v>0</v>
      </c>
      <c r="AC84" s="49">
        <f>PAProjects[[#This Row],[GOU 24/25]]+PAProjects[[#This Row],[DONOR 24/25]]</f>
        <v>0</v>
      </c>
    </row>
    <row r="85" spans="1:29" ht="15" hidden="1" customHeight="1" x14ac:dyDescent="0.25">
      <c r="A85" s="21" t="s">
        <v>290</v>
      </c>
      <c r="B85" s="2" t="s">
        <v>476</v>
      </c>
      <c r="C85" s="2" t="e">
        <f ca="1">PAProjects5[[#This Row],[LINKING_CODE]]=_xlfn.CONCAT(PAProjects5[[#This Row],[Project Code]]," ",PAProjects5[[#This Row],[Project Name]])</f>
        <v>#NAME?</v>
      </c>
      <c r="D85" s="2" t="str">
        <f>VLOOKUP(PAProjects5[[#This Row],[LINKING_CODE]],MasterTable[[Project Code and Name ]],1,FALSE)</f>
        <v>1517 Bridging the demand gap through the accelerated rural electrification Programme (TBEA)</v>
      </c>
      <c r="E85" s="2" t="s">
        <v>513</v>
      </c>
      <c r="F85" s="2" t="s">
        <v>1089</v>
      </c>
      <c r="G85" s="2" t="s">
        <v>123</v>
      </c>
      <c r="H85" s="2" t="s">
        <v>1251</v>
      </c>
      <c r="I85" s="2" t="s">
        <v>1262</v>
      </c>
      <c r="J85" s="2" t="s">
        <v>574</v>
      </c>
      <c r="K85" s="2" t="s">
        <v>1509</v>
      </c>
      <c r="L85" s="23">
        <v>43282</v>
      </c>
      <c r="M85" s="23">
        <v>44742</v>
      </c>
      <c r="N85" s="30">
        <v>48.281999999999996</v>
      </c>
      <c r="O85" s="31">
        <v>789.96799999999996</v>
      </c>
      <c r="P85" s="20">
        <f t="shared" si="4"/>
        <v>838.25</v>
      </c>
      <c r="Q85" s="53">
        <f>SUMIFS(MasterTable[Estimate of Arrears at end of the current FY 2020/21 (value)],MasterTable[[Project Code and Name ]],PAProjects5[[#This Row],[LINKING_CODE]],MasterTable[Funding Source],"GoU Funded")/10^9</f>
        <v>0</v>
      </c>
      <c r="R85" s="108">
        <f>SUMIFS(MasterTable[Arrears + All Contractual Commitments (value next FY)],MasterTable[[Project Code and Name ]],PAProjects5[[#This Row],[LINKING_CODE]],MasterTable[Funding Source],"GoU Funded")/10^9</f>
        <v>10</v>
      </c>
      <c r="S85" s="108">
        <f>SUMIFS(MasterTable[Arrears + All Contractual Commitments (value next FY)],MasterTable[[Project Code and Name ]],PAProjects5[[#This Row],[LINKING_CODE]],MasterTable[Funding Source],"External Financing")/10^9</f>
        <v>245.786</v>
      </c>
      <c r="T85" s="49">
        <f>PAProjects[[#This Row],[GOU 21/22]]+PAProjects[[#This Row],[DONOR 21/22]]</f>
        <v>255.786</v>
      </c>
      <c r="U85" s="107">
        <f>SUMIFS(MasterTable[FY1 (FY22-23)],MasterTable[[Project Code and Name ]],PAProjects5[[#This Row],[LINKING_CODE]],MasterTable[Funding Source],"GoU Funded")/10^9</f>
        <v>0</v>
      </c>
      <c r="V85" s="52">
        <f>SUMIFS(MasterTable[FY1 (FY22-23)],MasterTable[[Project Code and Name ]],PAProjects5[[#This Row],[LINKING_CODE]],MasterTable[Funding Source],"External Financing")/10^9</f>
        <v>0</v>
      </c>
      <c r="W85" s="49">
        <f>PAProjects[[#This Row],[GOU 22/23]]+PAProjects[[#This Row],[DONOR 22/23]]</f>
        <v>0</v>
      </c>
      <c r="X85" s="52">
        <f>SUMIFS(MasterTable[FY2 (FY23-24)],MasterTable[[Project Code and Name ]],PAProjects5[[#This Row],[LINKING_CODE]],MasterTable[Funding Source],"GoU Funded")/10^9</f>
        <v>0</v>
      </c>
      <c r="Y85" s="52">
        <f>SUMIFS(MasterTable[FY2 (FY23-24)],MasterTable[[Project Code and Name ]],PAProjects5[[#This Row],[LINKING_CODE]],MasterTable[Funding Source],"External Financing")/10^9</f>
        <v>0</v>
      </c>
      <c r="Z85" s="2">
        <f t="shared" si="6"/>
        <v>0</v>
      </c>
      <c r="AA85" s="52">
        <f>SUMIFS(MasterTable[FY3 (FY24-25)],MasterTable[[Project Code and Name ]],PAProjects5[[#This Row],[LINKING_CODE]],MasterTable[Funding Source],"GoU Funded")/10^9</f>
        <v>0</v>
      </c>
      <c r="AB85" s="52">
        <f>SUMIFS(MasterTable[FY3 (FY24-25)],MasterTable[[Project Code and Name ]],PAProjects5[[#This Row],[LINKING_CODE]],MasterTable[Funding Source],"External Financing")/10^9</f>
        <v>0</v>
      </c>
      <c r="AC85" s="49">
        <f>PAProjects[[#This Row],[GOU 24/25]]+PAProjects[[#This Row],[DONOR 24/25]]</f>
        <v>0</v>
      </c>
    </row>
    <row r="86" spans="1:29" ht="15" hidden="1" customHeight="1" x14ac:dyDescent="0.25">
      <c r="A86" s="21" t="s">
        <v>291</v>
      </c>
      <c r="B86" s="2" t="s">
        <v>477</v>
      </c>
      <c r="C86" s="2" t="e">
        <f ca="1">PAProjects5[[#This Row],[LINKING_CODE]]=_xlfn.CONCAT(PAProjects5[[#This Row],[Project Code]]," ",PAProjects5[[#This Row],[Project Name]])</f>
        <v>#NAME?</v>
      </c>
      <c r="D86" s="2" t="str">
        <f>VLOOKUP(PAProjects5[[#This Row],[LINKING_CODE]],MasterTable[[Project Code and Name ]],1,FALSE)</f>
        <v>1518 Uganda Rural Electrification Access Project (UREAP)</v>
      </c>
      <c r="E86" s="2" t="s">
        <v>513</v>
      </c>
      <c r="F86" s="2" t="s">
        <v>1089</v>
      </c>
      <c r="G86" s="2" t="s">
        <v>123</v>
      </c>
      <c r="H86" s="2" t="s">
        <v>1251</v>
      </c>
      <c r="I86" s="2" t="s">
        <v>1263</v>
      </c>
      <c r="J86" s="2" t="s">
        <v>576</v>
      </c>
      <c r="K86" s="2" t="s">
        <v>1509</v>
      </c>
      <c r="L86" s="23">
        <v>43282</v>
      </c>
      <c r="M86" s="23">
        <v>44742</v>
      </c>
      <c r="N86" s="30">
        <v>27</v>
      </c>
      <c r="O86" s="31">
        <v>330.77</v>
      </c>
      <c r="P86" s="20">
        <f t="shared" si="4"/>
        <v>357.77</v>
      </c>
      <c r="Q86" s="53">
        <f>SUMIFS(MasterTable[Estimate of Arrears at end of the current FY 2020/21 (value)],MasterTable[[Project Code and Name ]],PAProjects5[[#This Row],[LINKING_CODE]],MasterTable[Funding Source],"GoU Funded")/10^9</f>
        <v>0</v>
      </c>
      <c r="R86" s="108">
        <f>SUMIFS(MasterTable[Arrears + All Contractual Commitments (value next FY)],MasterTable[[Project Code and Name ]],PAProjects5[[#This Row],[LINKING_CODE]],MasterTable[Funding Source],"GoU Funded")/10^9</f>
        <v>0</v>
      </c>
      <c r="S86" s="108">
        <f>SUMIFS(MasterTable[Arrears + All Contractual Commitments (value next FY)],MasterTable[[Project Code and Name ]],PAProjects5[[#This Row],[LINKING_CODE]],MasterTable[Funding Source],"External Financing")/10^9</f>
        <v>144.58099999999999</v>
      </c>
      <c r="T86" s="49">
        <f>PAProjects[[#This Row],[GOU 21/22]]+PAProjects[[#This Row],[DONOR 21/22]]</f>
        <v>144.58099999999999</v>
      </c>
      <c r="U86" s="107">
        <f>SUMIFS(MasterTable[FY1 (FY22-23)],MasterTable[[Project Code and Name ]],PAProjects5[[#This Row],[LINKING_CODE]],MasterTable[Funding Source],"GoU Funded")/10^9</f>
        <v>0</v>
      </c>
      <c r="V86" s="52">
        <f>SUMIFS(MasterTable[FY1 (FY22-23)],MasterTable[[Project Code and Name ]],PAProjects5[[#This Row],[LINKING_CODE]],MasterTable[Funding Source],"External Financing")/10^9</f>
        <v>0</v>
      </c>
      <c r="W86" s="49">
        <f>PAProjects[[#This Row],[GOU 22/23]]+PAProjects[[#This Row],[DONOR 22/23]]</f>
        <v>0</v>
      </c>
      <c r="X86" s="52">
        <f>SUMIFS(MasterTable[FY2 (FY23-24)],MasterTable[[Project Code and Name ]],PAProjects5[[#This Row],[LINKING_CODE]],MasterTable[Funding Source],"GoU Funded")/10^9</f>
        <v>0</v>
      </c>
      <c r="Y86" s="52">
        <f>SUMIFS(MasterTable[FY2 (FY23-24)],MasterTable[[Project Code and Name ]],PAProjects5[[#This Row],[LINKING_CODE]],MasterTable[Funding Source],"External Financing")/10^9</f>
        <v>0</v>
      </c>
      <c r="Z86" s="2">
        <f t="shared" si="6"/>
        <v>0</v>
      </c>
      <c r="AA86" s="52">
        <f>SUMIFS(MasterTable[FY3 (FY24-25)],MasterTable[[Project Code and Name ]],PAProjects5[[#This Row],[LINKING_CODE]],MasterTable[Funding Source],"GoU Funded")/10^9</f>
        <v>0</v>
      </c>
      <c r="AB86" s="52">
        <f>SUMIFS(MasterTable[FY3 (FY24-25)],MasterTable[[Project Code and Name ]],PAProjects5[[#This Row],[LINKING_CODE]],MasterTable[Funding Source],"External Financing")/10^9</f>
        <v>0</v>
      </c>
      <c r="AC86" s="49">
        <f>PAProjects[[#This Row],[GOU 24/25]]+PAProjects[[#This Row],[DONOR 24/25]]</f>
        <v>0</v>
      </c>
    </row>
    <row r="87" spans="1:29" ht="15" hidden="1" customHeight="1" x14ac:dyDescent="0.25">
      <c r="A87" s="21" t="s">
        <v>640</v>
      </c>
      <c r="B87" s="2" t="s">
        <v>93</v>
      </c>
      <c r="C87" s="2" t="e">
        <f ca="1">PAProjects5[[#This Row],[LINKING_CODE]]=_xlfn.CONCAT(PAProjects5[[#This Row],[Project Code]]," ",PAProjects5[[#This Row],[Project Name]])</f>
        <v>#NAME?</v>
      </c>
      <c r="D87" s="2" t="str">
        <f>VLOOKUP(PAProjects5[[#This Row],[LINKING_CODE]],MasterTable[[Project Code and Name ]],1,FALSE)</f>
        <v>1519 Strengthening Capacity of Regional Referral Hospitals-DRIVE</v>
      </c>
      <c r="E87" s="2" t="s">
        <v>520</v>
      </c>
      <c r="F87" s="2" t="s">
        <v>975</v>
      </c>
      <c r="G87" s="2" t="s">
        <v>97</v>
      </c>
      <c r="H87" s="2" t="s">
        <v>962</v>
      </c>
      <c r="I87" s="2" t="s">
        <v>710</v>
      </c>
      <c r="J87" s="2" t="s">
        <v>1290</v>
      </c>
      <c r="K87" s="2" t="s">
        <v>1509</v>
      </c>
      <c r="L87" s="23">
        <v>43282</v>
      </c>
      <c r="M87" s="23">
        <v>45838</v>
      </c>
      <c r="N87" s="24"/>
      <c r="O87" s="25">
        <v>193.5</v>
      </c>
      <c r="P87" s="20">
        <f t="shared" si="4"/>
        <v>193.5</v>
      </c>
      <c r="Q87" s="53">
        <f>SUMIFS(MasterTable[Estimate of Arrears at end of the current FY 2020/21 (value)],MasterTable[[Project Code and Name ]],PAProjects5[[#This Row],[LINKING_CODE]],MasterTable[Funding Source],"GoU Funded")/10^9</f>
        <v>0</v>
      </c>
      <c r="R87" s="108">
        <f>SUMIFS(MasterTable[Arrears + All Contractual Commitments (value next FY)],MasterTable[[Project Code and Name ]],PAProjects5[[#This Row],[LINKING_CODE]],MasterTable[Funding Source],"GoU Funded")/10^9</f>
        <v>1</v>
      </c>
      <c r="S87" s="108">
        <f>SUMIFS(MasterTable[Arrears + All Contractual Commitments (value next FY)],MasterTable[[Project Code and Name ]],PAProjects5[[#This Row],[LINKING_CODE]],MasterTable[Funding Source],"External Financing")/10^9</f>
        <v>0</v>
      </c>
      <c r="T87" s="49">
        <f>PAProjects[[#This Row],[GOU 21/22]]+PAProjects[[#This Row],[DONOR 21/22]]</f>
        <v>1</v>
      </c>
      <c r="U87" s="107">
        <f>SUMIFS(MasterTable[FY1 (FY22-23)],MasterTable[[Project Code and Name ]],PAProjects5[[#This Row],[LINKING_CODE]],MasterTable[Funding Source],"GoU Funded")/10^9</f>
        <v>0</v>
      </c>
      <c r="V87" s="52">
        <f>SUMIFS(MasterTable[FY1 (FY22-23)],MasterTable[[Project Code and Name ]],PAProjects5[[#This Row],[LINKING_CODE]],MasterTable[Funding Source],"External Financing")/10^9</f>
        <v>0</v>
      </c>
      <c r="W87" s="49">
        <f>PAProjects[[#This Row],[GOU 22/23]]+PAProjects[[#This Row],[DONOR 22/23]]</f>
        <v>0</v>
      </c>
      <c r="X87" s="52">
        <f>SUMIFS(MasterTable[FY2 (FY23-24)],MasterTable[[Project Code and Name ]],PAProjects5[[#This Row],[LINKING_CODE]],MasterTable[Funding Source],"GoU Funded")/10^9</f>
        <v>0</v>
      </c>
      <c r="Y87" s="52">
        <f>SUMIFS(MasterTable[FY2 (FY23-24)],MasterTable[[Project Code and Name ]],PAProjects5[[#This Row],[LINKING_CODE]],MasterTable[Funding Source],"External Financing")/10^9</f>
        <v>0</v>
      </c>
      <c r="Z87" s="2">
        <f t="shared" si="6"/>
        <v>0</v>
      </c>
      <c r="AA87" s="52">
        <f>SUMIFS(MasterTable[FY3 (FY24-25)],MasterTable[[Project Code and Name ]],PAProjects5[[#This Row],[LINKING_CODE]],MasterTable[Funding Source],"GoU Funded")/10^9</f>
        <v>0</v>
      </c>
      <c r="AB87" s="52">
        <f>SUMIFS(MasterTable[FY3 (FY24-25)],MasterTable[[Project Code and Name ]],PAProjects5[[#This Row],[LINKING_CODE]],MasterTable[Funding Source],"External Financing")/10^9</f>
        <v>0</v>
      </c>
      <c r="AC87" s="29">
        <f>PAProjects[[#This Row],[GOU 24/25]]+PAProjects[[#This Row],[DONOR 24/25]]</f>
        <v>0</v>
      </c>
    </row>
    <row r="88" spans="1:29" ht="15" hidden="1" customHeight="1" x14ac:dyDescent="0.25">
      <c r="A88" s="21" t="s">
        <v>294</v>
      </c>
      <c r="B88" s="2" t="s">
        <v>350</v>
      </c>
      <c r="C88" s="2" t="e">
        <f ca="1">PAProjects5[[#This Row],[LINKING_CODE]]=_xlfn.CONCAT(PAProjects5[[#This Row],[Project Code]]," ",PAProjects5[[#This Row],[Project Name]])</f>
        <v>#NAME?</v>
      </c>
      <c r="D88" s="2" t="str">
        <f>VLOOKUP(PAProjects5[[#This Row],[LINKING_CODE]],MasterTable[[Project Code and Name ]],1,FALSE)</f>
        <v>1528 Hoima Oil Refinery Proximity Development Master Plan</v>
      </c>
      <c r="E88" s="2" t="s">
        <v>512</v>
      </c>
      <c r="F88" s="2" t="s">
        <v>1105</v>
      </c>
      <c r="G88" s="2" t="s">
        <v>1106</v>
      </c>
      <c r="H88" s="2" t="s">
        <v>1493</v>
      </c>
      <c r="I88" s="21" t="s">
        <v>1265</v>
      </c>
      <c r="J88" s="2" t="s">
        <v>556</v>
      </c>
      <c r="K88" s="2" t="s">
        <v>1509</v>
      </c>
      <c r="L88" s="27">
        <v>43472</v>
      </c>
      <c r="M88" s="27">
        <v>45473</v>
      </c>
      <c r="N88" s="20">
        <v>21.5</v>
      </c>
      <c r="O88" s="20"/>
      <c r="P88" s="20">
        <f t="shared" si="4"/>
        <v>21.5</v>
      </c>
      <c r="Q88" s="53">
        <f>SUMIFS(MasterTable[Estimate of Arrears at end of the current FY 2020/21 (value)],MasterTable[[Project Code and Name ]],PAProjects5[[#This Row],[LINKING_CODE]],MasterTable[Funding Source],"GoU Funded")/10^9</f>
        <v>0</v>
      </c>
      <c r="R88" s="108">
        <f>SUMIFS(MasterTable[Arrears + All Contractual Commitments (value next FY)],MasterTable[[Project Code and Name ]],PAProjects5[[#This Row],[LINKING_CODE]],MasterTable[Funding Source],"GoU Funded")/10^9</f>
        <v>2.9</v>
      </c>
      <c r="S88" s="108">
        <f>SUMIFS(MasterTable[Arrears + All Contractual Commitments (value next FY)],MasterTable[[Project Code and Name ]],PAProjects5[[#This Row],[LINKING_CODE]],MasterTable[Funding Source],"External Financing")/10^9</f>
        <v>0</v>
      </c>
      <c r="T88" s="49">
        <f>PAProjects[[#This Row],[GOU 21/22]]+PAProjects[[#This Row],[DONOR 21/22]]</f>
        <v>2.9</v>
      </c>
      <c r="U88" s="107">
        <f>SUMIFS(MasterTable[FY1 (FY22-23)],MasterTable[[Project Code and Name ]],PAProjects5[[#This Row],[LINKING_CODE]],MasterTable[Funding Source],"GoU Funded")/10^9</f>
        <v>3.48</v>
      </c>
      <c r="V88" s="52">
        <f>SUMIFS(MasterTable[FY1 (FY22-23)],MasterTable[[Project Code and Name ]],PAProjects5[[#This Row],[LINKING_CODE]],MasterTable[Funding Source],"External Financing")/10^9</f>
        <v>0</v>
      </c>
      <c r="W88" s="49">
        <f>PAProjects[[#This Row],[GOU 22/23]]+PAProjects[[#This Row],[DONOR 22/23]]</f>
        <v>3.48</v>
      </c>
      <c r="X88" s="52">
        <f>SUMIFS(MasterTable[FY2 (FY23-24)],MasterTable[[Project Code and Name ]],PAProjects5[[#This Row],[LINKING_CODE]],MasterTable[Funding Source],"GoU Funded")/10^9</f>
        <v>0</v>
      </c>
      <c r="Y88" s="52">
        <f>SUMIFS(MasterTable[FY2 (FY23-24)],MasterTable[[Project Code and Name ]],PAProjects5[[#This Row],[LINKING_CODE]],MasterTable[Funding Source],"External Financing")/10^9</f>
        <v>0</v>
      </c>
      <c r="Z88" s="2">
        <f t="shared" si="6"/>
        <v>0</v>
      </c>
      <c r="AA88" s="52">
        <f>SUMIFS(MasterTable[FY3 (FY24-25)],MasterTable[[Project Code and Name ]],PAProjects5[[#This Row],[LINKING_CODE]],MasterTable[Funding Source],"GoU Funded")/10^9</f>
        <v>0</v>
      </c>
      <c r="AB88" s="52">
        <f>SUMIFS(MasterTable[FY3 (FY24-25)],MasterTable[[Project Code and Name ]],PAProjects5[[#This Row],[LINKING_CODE]],MasterTable[Funding Source],"External Financing")/10^9</f>
        <v>0</v>
      </c>
      <c r="AC88" s="49">
        <f>PAProjects[[#This Row],[GOU 24/25]]+PAProjects[[#This Row],[DONOR 24/25]]</f>
        <v>0</v>
      </c>
    </row>
    <row r="89" spans="1:29" ht="15" hidden="1" customHeight="1" x14ac:dyDescent="0.25">
      <c r="A89" s="21" t="s">
        <v>118</v>
      </c>
      <c r="B89" s="2" t="s">
        <v>409</v>
      </c>
      <c r="C89" s="2" t="e">
        <f ca="1">PAProjects5[[#This Row],[LINKING_CODE]]=_xlfn.CONCAT(PAProjects5[[#This Row],[Project Code]]," ",PAProjects5[[#This Row],[Project Name]])</f>
        <v>#NAME?</v>
      </c>
      <c r="D89" s="2" t="str">
        <f>VLOOKUP(PAProjects5[[#This Row],[LINKING_CODE]],MasterTable[[Project Code and Name ]],1,FALSE)</f>
        <v>1536 Upgrading of Kitala-Gerenge Road</v>
      </c>
      <c r="E89" s="2" t="s">
        <v>515</v>
      </c>
      <c r="F89" s="2" t="s">
        <v>944</v>
      </c>
      <c r="G89" s="2" t="s">
        <v>113</v>
      </c>
      <c r="H89" s="2" t="s">
        <v>1007</v>
      </c>
      <c r="I89" s="2" t="s">
        <v>608</v>
      </c>
      <c r="J89" s="2" t="s">
        <v>1070</v>
      </c>
      <c r="K89" s="2" t="s">
        <v>1509</v>
      </c>
      <c r="L89" s="23">
        <v>43472</v>
      </c>
      <c r="M89" s="23">
        <v>45107</v>
      </c>
      <c r="N89" s="24">
        <v>21.152999999999999</v>
      </c>
      <c r="O89" s="20"/>
      <c r="P89" s="20">
        <f t="shared" si="4"/>
        <v>21.152999999999999</v>
      </c>
      <c r="Q89" s="53">
        <f>SUMIFS(MasterTable[Estimate of Arrears at end of the current FY 2020/21 (value)],MasterTable[[Project Code and Name ]],PAProjects5[[#This Row],[LINKING_CODE]],MasterTable[Funding Source],"GoU Funded")/10^9</f>
        <v>10.455258122</v>
      </c>
      <c r="R89" s="108">
        <f>SUMIFS(MasterTable[Arrears + All Contractual Commitments (value next FY)],MasterTable[[Project Code and Name ]],PAProjects5[[#This Row],[LINKING_CODE]],MasterTable[Funding Source],"GoU Funded")/10^9</f>
        <v>10.455258122</v>
      </c>
      <c r="S89" s="108">
        <f>SUMIFS(MasterTable[Arrears + All Contractual Commitments (value next FY)],MasterTable[[Project Code and Name ]],PAProjects5[[#This Row],[LINKING_CODE]],MasterTable[Funding Source],"External Financing")/10^9</f>
        <v>0</v>
      </c>
      <c r="T89" s="49">
        <f>PAProjects[[#This Row],[GOU 21/22]]+PAProjects[[#This Row],[DONOR 21/22]]</f>
        <v>10.455258122</v>
      </c>
      <c r="U89" s="107">
        <f>SUMIFS(MasterTable[FY1 (FY22-23)],MasterTable[[Project Code and Name ]],PAProjects5[[#This Row],[LINKING_CODE]],MasterTable[Funding Source],"GoU Funded")/10^9</f>
        <v>0</v>
      </c>
      <c r="V89" s="52">
        <f>SUMIFS(MasterTable[FY1 (FY22-23)],MasterTable[[Project Code and Name ]],PAProjects5[[#This Row],[LINKING_CODE]],MasterTable[Funding Source],"External Financing")/10^9</f>
        <v>0</v>
      </c>
      <c r="W89" s="49">
        <f>PAProjects[[#This Row],[GOU 22/23]]+PAProjects[[#This Row],[DONOR 22/23]]</f>
        <v>0</v>
      </c>
      <c r="X89" s="52">
        <f>SUMIFS(MasterTable[FY2 (FY23-24)],MasterTable[[Project Code and Name ]],PAProjects5[[#This Row],[LINKING_CODE]],MasterTable[Funding Source],"GoU Funded")/10^9</f>
        <v>0</v>
      </c>
      <c r="Y89" s="52">
        <f>SUMIFS(MasterTable[FY2 (FY23-24)],MasterTable[[Project Code and Name ]],PAProjects5[[#This Row],[LINKING_CODE]],MasterTable[Funding Source],"External Financing")/10^9</f>
        <v>0</v>
      </c>
      <c r="Z89" s="2">
        <f t="shared" si="6"/>
        <v>0</v>
      </c>
      <c r="AA89" s="52">
        <f>SUMIFS(MasterTable[FY3 (FY24-25)],MasterTable[[Project Code and Name ]],PAProjects5[[#This Row],[LINKING_CODE]],MasterTable[Funding Source],"GoU Funded")/10^9</f>
        <v>0</v>
      </c>
      <c r="AB89" s="52">
        <f>SUMIFS(MasterTable[FY3 (FY24-25)],MasterTable[[Project Code and Name ]],PAProjects5[[#This Row],[LINKING_CODE]],MasterTable[Funding Source],"External Financing")/10^9</f>
        <v>0</v>
      </c>
      <c r="AC89" s="49">
        <f>PAProjects[[#This Row],[GOU 24/25]]+PAProjects[[#This Row],[DONOR 24/25]]</f>
        <v>0</v>
      </c>
    </row>
    <row r="90" spans="1:29" ht="15" hidden="1" customHeight="1" x14ac:dyDescent="0.25">
      <c r="A90" s="21" t="s">
        <v>119</v>
      </c>
      <c r="B90" s="2" t="s">
        <v>410</v>
      </c>
      <c r="C90" s="2" t="e">
        <f ca="1">PAProjects5[[#This Row],[LINKING_CODE]]=_xlfn.CONCAT(PAProjects5[[#This Row],[Project Code]]," ",PAProjects5[[#This Row],[Project Name]])</f>
        <v>#NAME?</v>
      </c>
      <c r="D90" s="2" t="str">
        <f>VLOOKUP(PAProjects5[[#This Row],[LINKING_CODE]],MasterTable[[Project Code and Name ]],1,FALSE)</f>
        <v>1537 Upgrading of Kaya-Yei Road</v>
      </c>
      <c r="E90" s="2" t="s">
        <v>515</v>
      </c>
      <c r="F90" s="2" t="s">
        <v>944</v>
      </c>
      <c r="G90" s="2" t="s">
        <v>113</v>
      </c>
      <c r="H90" s="2" t="s">
        <v>1007</v>
      </c>
      <c r="I90" s="2" t="s">
        <v>612</v>
      </c>
      <c r="J90" s="2" t="s">
        <v>1071</v>
      </c>
      <c r="K90" s="2" t="s">
        <v>1509</v>
      </c>
      <c r="L90" s="23">
        <v>43472</v>
      </c>
      <c r="M90" s="23">
        <v>45473</v>
      </c>
      <c r="N90" s="24">
        <v>50</v>
      </c>
      <c r="O90" s="20"/>
      <c r="P90" s="20">
        <f t="shared" si="4"/>
        <v>50</v>
      </c>
      <c r="Q90" s="53">
        <f>SUMIFS(MasterTable[Estimate of Arrears at end of the current FY 2020/21 (value)],MasterTable[[Project Code and Name ]],PAProjects5[[#This Row],[LINKING_CODE]],MasterTable[Funding Source],"GoU Funded")/10^9</f>
        <v>0</v>
      </c>
      <c r="R90" s="108">
        <f>SUMIFS(MasterTable[Arrears + All Contractual Commitments (value next FY)],MasterTable[[Project Code and Name ]],PAProjects5[[#This Row],[LINKING_CODE]],MasterTable[Funding Source],"GoU Funded")/10^9</f>
        <v>18</v>
      </c>
      <c r="S90" s="108">
        <f>SUMIFS(MasterTable[Arrears + All Contractual Commitments (value next FY)],MasterTable[[Project Code and Name ]],PAProjects5[[#This Row],[LINKING_CODE]],MasterTable[Funding Source],"External Financing")/10^9</f>
        <v>0</v>
      </c>
      <c r="T90" s="49">
        <f>PAProjects[[#This Row],[GOU 21/22]]+PAProjects[[#This Row],[DONOR 21/22]]</f>
        <v>18</v>
      </c>
      <c r="U90" s="107">
        <f>SUMIFS(MasterTable[FY1 (FY22-23)],MasterTable[[Project Code and Name ]],PAProjects5[[#This Row],[LINKING_CODE]],MasterTable[Funding Source],"GoU Funded")/10^9</f>
        <v>19.759599999999999</v>
      </c>
      <c r="V90" s="52">
        <f>SUMIFS(MasterTable[FY1 (FY22-23)],MasterTable[[Project Code and Name ]],PAProjects5[[#This Row],[LINKING_CODE]],MasterTable[Funding Source],"External Financing")/10^9</f>
        <v>0</v>
      </c>
      <c r="W90" s="49">
        <f>PAProjects[[#This Row],[GOU 22/23]]+PAProjects[[#This Row],[DONOR 22/23]]</f>
        <v>19.759599999999999</v>
      </c>
      <c r="X90" s="52">
        <f>SUMIFS(MasterTable[FY2 (FY23-24)],MasterTable[[Project Code and Name ]],PAProjects5[[#This Row],[LINKING_CODE]],MasterTable[Funding Source],"GoU Funded")/10^9</f>
        <v>1.9877</v>
      </c>
      <c r="Y90" s="52">
        <f>SUMIFS(MasterTable[FY2 (FY23-24)],MasterTable[[Project Code and Name ]],PAProjects5[[#This Row],[LINKING_CODE]],MasterTable[Funding Source],"External Financing")/10^9</f>
        <v>0</v>
      </c>
      <c r="Z90" s="34">
        <f t="shared" si="6"/>
        <v>1.9877</v>
      </c>
      <c r="AA90" s="52">
        <f>SUMIFS(MasterTable[FY3 (FY24-25)],MasterTable[[Project Code and Name ]],PAProjects5[[#This Row],[LINKING_CODE]],MasterTable[Funding Source],"GoU Funded")/10^9</f>
        <v>0</v>
      </c>
      <c r="AB90" s="52">
        <f>SUMIFS(MasterTable[FY3 (FY24-25)],MasterTable[[Project Code and Name ]],PAProjects5[[#This Row],[LINKING_CODE]],MasterTable[Funding Source],"External Financing")/10^9</f>
        <v>0</v>
      </c>
      <c r="AC90" s="49">
        <f>PAProjects[[#This Row],[GOU 24/25]]+PAProjects[[#This Row],[DONOR 24/25]]</f>
        <v>0</v>
      </c>
    </row>
    <row r="91" spans="1:29" ht="15" hidden="1" customHeight="1" x14ac:dyDescent="0.25">
      <c r="A91" s="21" t="s">
        <v>642</v>
      </c>
      <c r="B91" s="2" t="s">
        <v>85</v>
      </c>
      <c r="C91" s="2" t="e">
        <f ca="1">PAProjects5[[#This Row],[LINKING_CODE]]=_xlfn.CONCAT(PAProjects5[[#This Row],[Project Code]]," ",PAProjects5[[#This Row],[Project Name]])</f>
        <v>#NAME?</v>
      </c>
      <c r="D91" s="2" t="str">
        <f>VLOOKUP(PAProjects5[[#This Row],[LINKING_CODE]],MasterTable[[Project Code and Name ]],1,FALSE)</f>
        <v>1539 Italian Support to Health Sector Development Plan- Karamoja Infrastructure Development Project Phase II</v>
      </c>
      <c r="E91" s="2" t="s">
        <v>520</v>
      </c>
      <c r="F91" s="2" t="s">
        <v>975</v>
      </c>
      <c r="G91" s="2" t="s">
        <v>97</v>
      </c>
      <c r="H91" s="2" t="s">
        <v>962</v>
      </c>
      <c r="I91" s="2" t="s">
        <v>977</v>
      </c>
      <c r="J91" s="2" t="s">
        <v>978</v>
      </c>
      <c r="K91" s="2" t="s">
        <v>1509</v>
      </c>
      <c r="L91" s="23">
        <v>43647</v>
      </c>
      <c r="M91" s="23">
        <v>45107</v>
      </c>
      <c r="N91" s="20">
        <v>40</v>
      </c>
      <c r="O91" s="20"/>
      <c r="P91" s="20">
        <f t="shared" si="4"/>
        <v>40</v>
      </c>
      <c r="Q91" s="53">
        <f>SUMIFS(MasterTable[Estimate of Arrears at end of the current FY 2020/21 (value)],MasterTable[[Project Code and Name ]],PAProjects5[[#This Row],[LINKING_CODE]],MasterTable[Funding Source],"GoU Funded")/10^9</f>
        <v>0</v>
      </c>
      <c r="R91" s="108">
        <f>SUMIFS(MasterTable[Arrears + All Contractual Commitments (value next FY)],MasterTable[[Project Code and Name ]],PAProjects5[[#This Row],[LINKING_CODE]],MasterTable[Funding Source],"GoU Funded")/10^9</f>
        <v>0.36099999999999999</v>
      </c>
      <c r="S91" s="108">
        <f>SUMIFS(MasterTable[Arrears + All Contractual Commitments (value next FY)],MasterTable[[Project Code and Name ]],PAProjects5[[#This Row],[LINKING_CODE]],MasterTable[Funding Source],"External Financing")/10^9</f>
        <v>13.298490161</v>
      </c>
      <c r="T91" s="49">
        <f>PAProjects[[#This Row],[GOU 21/22]]+PAProjects[[#This Row],[DONOR 21/22]]</f>
        <v>13.659490161000001</v>
      </c>
      <c r="U91" s="107">
        <f>SUMIFS(MasterTable[FY1 (FY22-23)],MasterTable[[Project Code and Name ]],PAProjects5[[#This Row],[LINKING_CODE]],MasterTable[Funding Source],"GoU Funded")/10^9</f>
        <v>4.82</v>
      </c>
      <c r="V91" s="52">
        <f>SUMIFS(MasterTable[FY1 (FY22-23)],MasterTable[[Project Code and Name ]],PAProjects5[[#This Row],[LINKING_CODE]],MasterTable[Funding Source],"External Financing")/10^9</f>
        <v>13.298490161</v>
      </c>
      <c r="W91" s="49">
        <f>PAProjects[[#This Row],[GOU 22/23]]+PAProjects[[#This Row],[DONOR 22/23]]</f>
        <v>18.118490161</v>
      </c>
      <c r="X91" s="52">
        <f>SUMIFS(MasterTable[FY2 (FY23-24)],MasterTable[[Project Code and Name ]],PAProjects5[[#This Row],[LINKING_CODE]],MasterTable[Funding Source],"GoU Funded")/10^9</f>
        <v>7.64</v>
      </c>
      <c r="Y91" s="52">
        <f>SUMIFS(MasterTable[FY2 (FY23-24)],MasterTable[[Project Code and Name ]],PAProjects5[[#This Row],[LINKING_CODE]],MasterTable[Funding Source],"External Financing")/10^9</f>
        <v>43.212574213000003</v>
      </c>
      <c r="Z91" s="2">
        <f t="shared" si="6"/>
        <v>50.852574213000004</v>
      </c>
      <c r="AA91" s="52">
        <f>SUMIFS(MasterTable[FY3 (FY24-25)],MasterTable[[Project Code and Name ]],PAProjects5[[#This Row],[LINKING_CODE]],MasterTable[Funding Source],"GoU Funded")/10^9</f>
        <v>0.36099999999999999</v>
      </c>
      <c r="AB91" s="52">
        <f>SUMIFS(MasterTable[FY3 (FY24-25)],MasterTable[[Project Code and Name ]],PAProjects5[[#This Row],[LINKING_CODE]],MasterTable[Funding Source],"External Financing")/10^9</f>
        <v>0</v>
      </c>
      <c r="AC91" s="49">
        <f>PAProjects[[#This Row],[GOU 24/25]]+PAProjects[[#This Row],[DONOR 24/25]]</f>
        <v>0.36099999999999999</v>
      </c>
    </row>
    <row r="92" spans="1:29" ht="15" hidden="1" customHeight="1" x14ac:dyDescent="0.25">
      <c r="A92" s="21" t="s">
        <v>614</v>
      </c>
      <c r="B92" s="2" t="s">
        <v>461</v>
      </c>
      <c r="C92" s="2" t="e">
        <f ca="1">PAProjects5[[#This Row],[LINKING_CODE]]=_xlfn.CONCAT(PAProjects5[[#This Row],[Project Code]]," ",PAProjects5[[#This Row],[Project Name]])</f>
        <v>#NAME?</v>
      </c>
      <c r="D92" s="2" t="str">
        <f>VLOOKUP(PAProjects5[[#This Row],[LINKING_CODE]],MasterTable[[Project Code and Name ]],1,FALSE)</f>
        <v>1540 Development of Secondary Education Phase II</v>
      </c>
      <c r="E92" s="2" t="s">
        <v>519</v>
      </c>
      <c r="F92" s="2" t="s">
        <v>960</v>
      </c>
      <c r="G92" s="2" t="s">
        <v>961</v>
      </c>
      <c r="H92" s="2" t="s">
        <v>962</v>
      </c>
      <c r="I92" s="2" t="s">
        <v>970</v>
      </c>
      <c r="J92" s="2" t="s">
        <v>971</v>
      </c>
      <c r="K92" s="2" t="s">
        <v>1509</v>
      </c>
      <c r="L92" s="23">
        <v>43647</v>
      </c>
      <c r="M92" s="23">
        <v>44742</v>
      </c>
      <c r="N92" s="24">
        <v>50</v>
      </c>
      <c r="O92" s="20"/>
      <c r="P92" s="20">
        <f t="shared" si="4"/>
        <v>50</v>
      </c>
      <c r="Q92" s="53">
        <f>SUMIFS(MasterTable[Estimate of Arrears at end of the current FY 2020/21 (value)],MasterTable[[Project Code and Name ]],PAProjects5[[#This Row],[LINKING_CODE]],MasterTable[Funding Source],"GoU Funded")/10^9</f>
        <v>5.2</v>
      </c>
      <c r="R92" s="108">
        <f>SUMIFS(MasterTable[Arrears + All Contractual Commitments (value next FY)],MasterTable[[Project Code and Name ]],PAProjects5[[#This Row],[LINKING_CODE]],MasterTable[Funding Source],"GoU Funded")/10^9</f>
        <v>20.07</v>
      </c>
      <c r="S92" s="108">
        <f>SUMIFS(MasterTable[Arrears + All Contractual Commitments (value next FY)],MasterTable[[Project Code and Name ]],PAProjects5[[#This Row],[LINKING_CODE]],MasterTable[Funding Source],"External Financing")/10^9</f>
        <v>0</v>
      </c>
      <c r="T92" s="49">
        <f>PAProjects[[#This Row],[GOU 21/22]]+PAProjects[[#This Row],[DONOR 21/22]]</f>
        <v>20.07</v>
      </c>
      <c r="U92" s="107">
        <f>SUMIFS(MasterTable[FY1 (FY22-23)],MasterTable[[Project Code and Name ]],PAProjects5[[#This Row],[LINKING_CODE]],MasterTable[Funding Source],"GoU Funded")/10^9</f>
        <v>0</v>
      </c>
      <c r="V92" s="52">
        <f>SUMIFS(MasterTable[FY1 (FY22-23)],MasterTable[[Project Code and Name ]],PAProjects5[[#This Row],[LINKING_CODE]],MasterTable[Funding Source],"External Financing")/10^9</f>
        <v>0</v>
      </c>
      <c r="W92" s="49">
        <f>PAProjects[[#This Row],[GOU 22/23]]+PAProjects[[#This Row],[DONOR 22/23]]</f>
        <v>0</v>
      </c>
      <c r="X92" s="52">
        <f>SUMIFS(MasterTable[FY2 (FY23-24)],MasterTable[[Project Code and Name ]],PAProjects5[[#This Row],[LINKING_CODE]],MasterTable[Funding Source],"GoU Funded")/10^9</f>
        <v>0</v>
      </c>
      <c r="Y92" s="52">
        <f>SUMIFS(MasterTable[FY2 (FY23-24)],MasterTable[[Project Code and Name ]],PAProjects5[[#This Row],[LINKING_CODE]],MasterTable[Funding Source],"External Financing")/10^9</f>
        <v>0</v>
      </c>
      <c r="Z92" s="2">
        <f t="shared" si="6"/>
        <v>0</v>
      </c>
      <c r="AA92" s="52">
        <f>SUMIFS(MasterTable[FY3 (FY24-25)],MasterTable[[Project Code and Name ]],PAProjects5[[#This Row],[LINKING_CODE]],MasterTable[Funding Source],"GoU Funded")/10^9</f>
        <v>0</v>
      </c>
      <c r="AB92" s="52">
        <f>SUMIFS(MasterTable[FY3 (FY24-25)],MasterTable[[Project Code and Name ]],PAProjects5[[#This Row],[LINKING_CODE]],MasterTable[Funding Source],"External Financing")/10^9</f>
        <v>0</v>
      </c>
      <c r="AC92" s="49">
        <f>PAProjects[[#This Row],[GOU 24/25]]+PAProjects[[#This Row],[DONOR 24/25]]</f>
        <v>0</v>
      </c>
    </row>
    <row r="93" spans="1:29" ht="15" hidden="1" customHeight="1" x14ac:dyDescent="0.25">
      <c r="A93" s="21" t="s">
        <v>140</v>
      </c>
      <c r="B93" s="2" t="s">
        <v>62</v>
      </c>
      <c r="C93" s="2" t="e">
        <f ca="1">PAProjects5[[#This Row],[LINKING_CODE]]=_xlfn.CONCAT(PAProjects5[[#This Row],[Project Code]]," ",PAProjects5[[#This Row],[Project Name]])</f>
        <v>#NAME?</v>
      </c>
      <c r="D93" s="2" t="str">
        <f>VLOOKUP(PAProjects5[[#This Row],[LINKING_CODE]],MasterTable[[Project Code and Name ]],1,FALSE)</f>
        <v>1542 Airborne Geophysical Survey and Geological Mapping of Karamoja</v>
      </c>
      <c r="E93" s="2" t="s">
        <v>513</v>
      </c>
      <c r="F93" s="2" t="s">
        <v>1089</v>
      </c>
      <c r="G93" s="2" t="s">
        <v>66</v>
      </c>
      <c r="H93" s="2" t="s">
        <v>1093</v>
      </c>
      <c r="I93" s="2" t="s">
        <v>1092</v>
      </c>
      <c r="J93" s="2" t="s">
        <v>566</v>
      </c>
      <c r="K93" s="2" t="s">
        <v>1509</v>
      </c>
      <c r="L93" s="23">
        <v>43647</v>
      </c>
      <c r="M93" s="23">
        <v>45838</v>
      </c>
      <c r="N93" s="20">
        <v>97.340999999999994</v>
      </c>
      <c r="O93" s="20"/>
      <c r="P93" s="20">
        <f t="shared" si="4"/>
        <v>97.340999999999994</v>
      </c>
      <c r="Q93" s="53">
        <f>SUMIFS(MasterTable[Estimate of Arrears at end of the current FY 2020/21 (value)],MasterTable[[Project Code and Name ]],PAProjects5[[#This Row],[LINKING_CODE]],MasterTable[Funding Source],"GoU Funded")/10^9</f>
        <v>0</v>
      </c>
      <c r="R93" s="108">
        <f>SUMIFS(MasterTable[Arrears + All Contractual Commitments (value next FY)],MasterTable[[Project Code and Name ]],PAProjects5[[#This Row],[LINKING_CODE]],MasterTable[Funding Source],"GoU Funded")/10^9</f>
        <v>9.1</v>
      </c>
      <c r="S93" s="108">
        <f>SUMIFS(MasterTable[Arrears + All Contractual Commitments (value next FY)],MasterTable[[Project Code and Name ]],PAProjects5[[#This Row],[LINKING_CODE]],MasterTable[Funding Source],"External Financing")/10^9</f>
        <v>20.309999999999999</v>
      </c>
      <c r="T93" s="49">
        <f>PAProjects[[#This Row],[GOU 21/22]]+PAProjects[[#This Row],[DONOR 21/22]]</f>
        <v>29.409999999999997</v>
      </c>
      <c r="U93" s="107">
        <f>SUMIFS(MasterTable[FY1 (FY22-23)],MasterTable[[Project Code and Name ]],PAProjects5[[#This Row],[LINKING_CODE]],MasterTable[Funding Source],"GoU Funded")/10^9</f>
        <v>2</v>
      </c>
      <c r="V93" s="52">
        <f>SUMIFS(MasterTable[FY1 (FY22-23)],MasterTable[[Project Code and Name ]],PAProjects5[[#This Row],[LINKING_CODE]],MasterTable[Funding Source],"External Financing")/10^9</f>
        <v>17</v>
      </c>
      <c r="W93" s="20">
        <f>PAProjects[[#This Row],[GOU 22/23]]+PAProjects[[#This Row],[DONOR 22/23]]</f>
        <v>19</v>
      </c>
      <c r="X93" s="52">
        <f>SUMIFS(MasterTable[FY2 (FY23-24)],MasterTable[[Project Code and Name ]],PAProjects5[[#This Row],[LINKING_CODE]],MasterTable[Funding Source],"GoU Funded")/10^9</f>
        <v>1.6890000000000001</v>
      </c>
      <c r="Y93" s="52">
        <f>SUMIFS(MasterTable[FY2 (FY23-24)],MasterTable[[Project Code and Name ]],PAProjects5[[#This Row],[LINKING_CODE]],MasterTable[Funding Source],"External Financing")/10^9</f>
        <v>8.7799999999999994</v>
      </c>
      <c r="Z93" s="2">
        <f t="shared" si="6"/>
        <v>10.468999999999999</v>
      </c>
      <c r="AA93" s="52">
        <f>SUMIFS(MasterTable[FY3 (FY24-25)],MasterTable[[Project Code and Name ]],PAProjects5[[#This Row],[LINKING_CODE]],MasterTable[Funding Source],"GoU Funded")/10^9</f>
        <v>1.2</v>
      </c>
      <c r="AB93" s="52">
        <f>SUMIFS(MasterTable[FY3 (FY24-25)],MasterTable[[Project Code and Name ]],PAProjects5[[#This Row],[LINKING_CODE]],MasterTable[Funding Source],"External Financing")/10^9</f>
        <v>7.7</v>
      </c>
      <c r="AC93" s="49">
        <f>PAProjects[[#This Row],[GOU 24/25]]+PAProjects[[#This Row],[DONOR 24/25]]</f>
        <v>8.9</v>
      </c>
    </row>
    <row r="94" spans="1:29" ht="23.1" hidden="1" customHeight="1" x14ac:dyDescent="0.25">
      <c r="A94" s="21" t="s">
        <v>120</v>
      </c>
      <c r="B94" s="2" t="s">
        <v>411</v>
      </c>
      <c r="C94" s="2" t="e">
        <f ca="1">PAProjects5[[#This Row],[LINKING_CODE]]=_xlfn.CONCAT(PAProjects5[[#This Row],[Project Code]]," ",PAProjects5[[#This Row],[Project Name]])</f>
        <v>#NAME?</v>
      </c>
      <c r="D94" s="2" t="str">
        <f>VLOOKUP(PAProjects5[[#This Row],[LINKING_CODE]],MasterTable[[Project Code and Name ]],1,FALSE)</f>
        <v>1543 Kihihi-Butogota-Bohoma Road</v>
      </c>
      <c r="E94" s="2" t="s">
        <v>515</v>
      </c>
      <c r="F94" s="2" t="s">
        <v>944</v>
      </c>
      <c r="G94" s="2" t="s">
        <v>113</v>
      </c>
      <c r="H94" s="2" t="s">
        <v>1007</v>
      </c>
      <c r="I94" s="2" t="s">
        <v>615</v>
      </c>
      <c r="J94" s="2" t="s">
        <v>616</v>
      </c>
      <c r="K94" s="2" t="s">
        <v>1509</v>
      </c>
      <c r="L94" s="23">
        <v>43472</v>
      </c>
      <c r="M94" s="23">
        <v>45107</v>
      </c>
      <c r="N94" s="24">
        <v>200</v>
      </c>
      <c r="O94" s="20"/>
      <c r="P94" s="20">
        <f t="shared" si="4"/>
        <v>200</v>
      </c>
      <c r="Q94" s="53">
        <f>SUMIFS(MasterTable[Estimate of Arrears at end of the current FY 2020/21 (value)],MasterTable[[Project Code and Name ]],PAProjects5[[#This Row],[LINKING_CODE]],MasterTable[Funding Source],"GoU Funded")/10^9</f>
        <v>0</v>
      </c>
      <c r="R94" s="108">
        <f>SUMIFS(MasterTable[Arrears + All Contractual Commitments (value next FY)],MasterTable[[Project Code and Name ]],PAProjects5[[#This Row],[LINKING_CODE]],MasterTable[Funding Source],"GoU Funded")/10^9</f>
        <v>0</v>
      </c>
      <c r="S94" s="108">
        <f>SUMIFS(MasterTable[Arrears + All Contractual Commitments (value next FY)],MasterTable[[Project Code and Name ]],PAProjects5[[#This Row],[LINKING_CODE]],MasterTable[Funding Source],"External Financing")/10^9</f>
        <v>0</v>
      </c>
      <c r="T94" s="49">
        <f>PAProjects[[#This Row],[GOU 21/22]]+PAProjects[[#This Row],[DONOR 21/22]]</f>
        <v>0</v>
      </c>
      <c r="U94" s="107">
        <f>SUMIFS(MasterTable[FY1 (FY22-23)],MasterTable[[Project Code and Name ]],PAProjects5[[#This Row],[LINKING_CODE]],MasterTable[Funding Source],"GoU Funded")/10^9</f>
        <v>0</v>
      </c>
      <c r="V94" s="52">
        <f>SUMIFS(MasterTable[FY1 (FY22-23)],MasterTable[[Project Code and Name ]],PAProjects5[[#This Row],[LINKING_CODE]],MasterTable[Funding Source],"External Financing")/10^9</f>
        <v>23.2</v>
      </c>
      <c r="W94" s="49">
        <f>PAProjects[[#This Row],[GOU 22/23]]+PAProjects[[#This Row],[DONOR 22/23]]</f>
        <v>23.2</v>
      </c>
      <c r="X94" s="52">
        <f>SUMIFS(MasterTable[FY2 (FY23-24)],MasterTable[[Project Code and Name ]],PAProjects5[[#This Row],[LINKING_CODE]],MasterTable[Funding Source],"GoU Funded")/10^9</f>
        <v>0</v>
      </c>
      <c r="Y94" s="52">
        <f>SUMIFS(MasterTable[FY2 (FY23-24)],MasterTable[[Project Code and Name ]],PAProjects5[[#This Row],[LINKING_CODE]],MasterTable[Funding Source],"External Financing")/10^9</f>
        <v>0</v>
      </c>
      <c r="Z94" s="2">
        <f t="shared" si="6"/>
        <v>0</v>
      </c>
      <c r="AA94" s="52">
        <f>SUMIFS(MasterTable[FY3 (FY24-25)],MasterTable[[Project Code and Name ]],PAProjects5[[#This Row],[LINKING_CODE]],MasterTable[Funding Source],"GoU Funded")/10^9</f>
        <v>0</v>
      </c>
      <c r="AB94" s="52">
        <f>SUMIFS(MasterTable[FY3 (FY24-25)],MasterTable[[Project Code and Name ]],PAProjects5[[#This Row],[LINKING_CODE]],MasterTable[Funding Source],"External Financing")/10^9</f>
        <v>0</v>
      </c>
      <c r="AC94" s="49">
        <f>PAProjects[[#This Row],[GOU 24/25]]+PAProjects[[#This Row],[DONOR 24/25]]</f>
        <v>0</v>
      </c>
    </row>
    <row r="95" spans="1:29" ht="15" hidden="1" customHeight="1" x14ac:dyDescent="0.25">
      <c r="A95" s="21" t="s">
        <v>121</v>
      </c>
      <c r="B95" s="2" t="s">
        <v>412</v>
      </c>
      <c r="C95" s="2" t="e">
        <f ca="1">PAProjects5[[#This Row],[LINKING_CODE]]=_xlfn.CONCAT(PAProjects5[[#This Row],[Project Code]]," ",PAProjects5[[#This Row],[Project Name]])</f>
        <v>#NAME?</v>
      </c>
      <c r="D95" s="2" t="str">
        <f>VLOOKUP(PAProjects5[[#This Row],[LINKING_CODE]],MasterTable[[Project Code and Name ]],1,FALSE)</f>
        <v>1544 Kisoro-Lake Bunyonyi Road</v>
      </c>
      <c r="E95" s="2" t="s">
        <v>515</v>
      </c>
      <c r="F95" s="2" t="s">
        <v>944</v>
      </c>
      <c r="G95" s="2" t="s">
        <v>113</v>
      </c>
      <c r="H95" s="2" t="s">
        <v>1007</v>
      </c>
      <c r="I95" s="2" t="s">
        <v>618</v>
      </c>
      <c r="J95" s="2" t="s">
        <v>619</v>
      </c>
      <c r="K95" s="2" t="s">
        <v>1509</v>
      </c>
      <c r="L95" s="23">
        <v>43472</v>
      </c>
      <c r="M95" s="23">
        <v>45107</v>
      </c>
      <c r="N95" s="24">
        <v>50</v>
      </c>
      <c r="O95" s="20"/>
      <c r="P95" s="20">
        <f t="shared" si="4"/>
        <v>50</v>
      </c>
      <c r="Q95" s="53">
        <f>SUMIFS(MasterTable[Estimate of Arrears at end of the current FY 2020/21 (value)],MasterTable[[Project Code and Name ]],PAProjects5[[#This Row],[LINKING_CODE]],MasterTable[Funding Source],"GoU Funded")/10^9</f>
        <v>0</v>
      </c>
      <c r="R95" s="108">
        <f>SUMIFS(MasterTable[Arrears + All Contractual Commitments (value next FY)],MasterTable[[Project Code and Name ]],PAProjects5[[#This Row],[LINKING_CODE]],MasterTable[Funding Source],"GoU Funded")/10^9</f>
        <v>0</v>
      </c>
      <c r="S95" s="108">
        <f>SUMIFS(MasterTable[Arrears + All Contractual Commitments (value next FY)],MasterTable[[Project Code and Name ]],PAProjects5[[#This Row],[LINKING_CODE]],MasterTable[Funding Source],"External Financing")/10^9</f>
        <v>11</v>
      </c>
      <c r="T95" s="49">
        <f>PAProjects[[#This Row],[GOU 21/22]]+PAProjects[[#This Row],[DONOR 21/22]]</f>
        <v>11</v>
      </c>
      <c r="U95" s="107">
        <f>SUMIFS(MasterTable[FY1 (FY22-23)],MasterTable[[Project Code and Name ]],PAProjects5[[#This Row],[LINKING_CODE]],MasterTable[Funding Source],"GoU Funded")/10^9</f>
        <v>0</v>
      </c>
      <c r="V95" s="52">
        <f>SUMIFS(MasterTable[FY1 (FY22-23)],MasterTable[[Project Code and Name ]],PAProjects5[[#This Row],[LINKING_CODE]],MasterTable[Funding Source],"External Financing")/10^9</f>
        <v>17</v>
      </c>
      <c r="W95" s="49">
        <f>PAProjects[[#This Row],[GOU 22/23]]+PAProjects[[#This Row],[DONOR 22/23]]</f>
        <v>17</v>
      </c>
      <c r="X95" s="52">
        <f>SUMIFS(MasterTable[FY2 (FY23-24)],MasterTable[[Project Code and Name ]],PAProjects5[[#This Row],[LINKING_CODE]],MasterTable[Funding Source],"GoU Funded")/10^9</f>
        <v>0</v>
      </c>
      <c r="Y95" s="52">
        <f>SUMIFS(MasterTable[FY2 (FY23-24)],MasterTable[[Project Code and Name ]],PAProjects5[[#This Row],[LINKING_CODE]],MasterTable[Funding Source],"External Financing")/10^9</f>
        <v>0</v>
      </c>
      <c r="Z95" s="2">
        <f t="shared" si="6"/>
        <v>0</v>
      </c>
      <c r="AA95" s="52">
        <f>SUMIFS(MasterTable[FY3 (FY24-25)],MasterTable[[Project Code and Name ]],PAProjects5[[#This Row],[LINKING_CODE]],MasterTable[Funding Source],"GoU Funded")/10^9</f>
        <v>0</v>
      </c>
      <c r="AB95" s="52">
        <f>SUMIFS(MasterTable[FY3 (FY24-25)],MasterTable[[Project Code and Name ]],PAProjects5[[#This Row],[LINKING_CODE]],MasterTable[Funding Source],"External Financing")/10^9</f>
        <v>0</v>
      </c>
      <c r="AC95" s="49">
        <f>PAProjects[[#This Row],[GOU 24/25]]+PAProjects[[#This Row],[DONOR 24/25]]</f>
        <v>0</v>
      </c>
    </row>
    <row r="96" spans="1:29" ht="15" hidden="1" customHeight="1" x14ac:dyDescent="0.25">
      <c r="A96" s="21" t="s">
        <v>122</v>
      </c>
      <c r="B96" s="2" t="s">
        <v>413</v>
      </c>
      <c r="C96" s="2" t="e">
        <f ca="1">PAProjects5[[#This Row],[LINKING_CODE]]=_xlfn.CONCAT(PAProjects5[[#This Row],[Project Code]]," ",PAProjects5[[#This Row],[Project Name]])</f>
        <v>#NAME?</v>
      </c>
      <c r="D96" s="2" t="str">
        <f>VLOOKUP(PAProjects5[[#This Row],[LINKING_CODE]],MasterTable[[Project Code and Name ]],1,FALSE)</f>
        <v>1545 Kisoro-Mgahinga National Park Headquarters Road</v>
      </c>
      <c r="E96" s="2" t="s">
        <v>515</v>
      </c>
      <c r="F96" s="2" t="s">
        <v>944</v>
      </c>
      <c r="G96" s="2" t="s">
        <v>113</v>
      </c>
      <c r="H96" s="2" t="s">
        <v>1007</v>
      </c>
      <c r="I96" s="2" t="s">
        <v>621</v>
      </c>
      <c r="J96" s="2" t="s">
        <v>622</v>
      </c>
      <c r="K96" s="2" t="s">
        <v>1509</v>
      </c>
      <c r="L96" s="23">
        <v>43472</v>
      </c>
      <c r="M96" s="23">
        <v>45107</v>
      </c>
      <c r="N96" s="24">
        <v>45</v>
      </c>
      <c r="O96" s="20"/>
      <c r="P96" s="20">
        <f t="shared" si="4"/>
        <v>45</v>
      </c>
      <c r="Q96" s="53">
        <f>SUMIFS(MasterTable[Estimate of Arrears at end of the current FY 2020/21 (value)],MasterTable[[Project Code and Name ]],PAProjects5[[#This Row],[LINKING_CODE]],MasterTable[Funding Source],"GoU Funded")/10^9</f>
        <v>0</v>
      </c>
      <c r="R96" s="108">
        <f>SUMIFS(MasterTable[Arrears + All Contractual Commitments (value next FY)],MasterTable[[Project Code and Name ]],PAProjects5[[#This Row],[LINKING_CODE]],MasterTable[Funding Source],"GoU Funded")/10^9</f>
        <v>0</v>
      </c>
      <c r="S96" s="108">
        <f>SUMIFS(MasterTable[Arrears + All Contractual Commitments (value next FY)],MasterTable[[Project Code and Name ]],PAProjects5[[#This Row],[LINKING_CODE]],MasterTable[Funding Source],"External Financing")/10^9</f>
        <v>10</v>
      </c>
      <c r="T96" s="49">
        <f>PAProjects[[#This Row],[GOU 21/22]]+PAProjects[[#This Row],[DONOR 21/22]]</f>
        <v>10</v>
      </c>
      <c r="U96" s="107">
        <f>SUMIFS(MasterTable[FY1 (FY22-23)],MasterTable[[Project Code and Name ]],PAProjects5[[#This Row],[LINKING_CODE]],MasterTable[Funding Source],"GoU Funded")/10^9</f>
        <v>0</v>
      </c>
      <c r="V96" s="52">
        <f>SUMIFS(MasterTable[FY1 (FY22-23)],MasterTable[[Project Code and Name ]],PAProjects5[[#This Row],[LINKING_CODE]],MasterTable[Funding Source],"External Financing")/10^9</f>
        <v>16</v>
      </c>
      <c r="W96" s="49">
        <f>PAProjects[[#This Row],[GOU 22/23]]+PAProjects[[#This Row],[DONOR 22/23]]</f>
        <v>16</v>
      </c>
      <c r="X96" s="52">
        <f>SUMIFS(MasterTable[FY2 (FY23-24)],MasterTable[[Project Code and Name ]],PAProjects5[[#This Row],[LINKING_CODE]],MasterTable[Funding Source],"GoU Funded")/10^9</f>
        <v>0</v>
      </c>
      <c r="Y96" s="52">
        <f>SUMIFS(MasterTable[FY2 (FY23-24)],MasterTable[[Project Code and Name ]],PAProjects5[[#This Row],[LINKING_CODE]],MasterTable[Funding Source],"External Financing")/10^9</f>
        <v>0</v>
      </c>
      <c r="Z96" s="2">
        <f t="shared" si="6"/>
        <v>0</v>
      </c>
      <c r="AA96" s="52">
        <f>SUMIFS(MasterTable[FY3 (FY24-25)],MasterTable[[Project Code and Name ]],PAProjects5[[#This Row],[LINKING_CODE]],MasterTable[Funding Source],"GoU Funded")/10^9</f>
        <v>0</v>
      </c>
      <c r="AB96" s="52">
        <f>SUMIFS(MasterTable[FY3 (FY24-25)],MasterTable[[Project Code and Name ]],PAProjects5[[#This Row],[LINKING_CODE]],MasterTable[Funding Source],"External Financing")/10^9</f>
        <v>0</v>
      </c>
      <c r="AC96" s="49">
        <f>PAProjects[[#This Row],[GOU 24/25]]+PAProjects[[#This Row],[DONOR 24/25]]</f>
        <v>0</v>
      </c>
    </row>
    <row r="97" spans="1:29" ht="15" hidden="1" customHeight="1" x14ac:dyDescent="0.25">
      <c r="A97" s="21" t="s">
        <v>123</v>
      </c>
      <c r="B97" s="2" t="s">
        <v>414</v>
      </c>
      <c r="C97" s="2" t="e">
        <f ca="1">PAProjects5[[#This Row],[LINKING_CODE]]=_xlfn.CONCAT(PAProjects5[[#This Row],[Project Code]]," ",PAProjects5[[#This Row],[Project Name]])</f>
        <v>#NAME?</v>
      </c>
      <c r="D97" s="2" t="str">
        <f>VLOOKUP(PAProjects5[[#This Row],[LINKING_CODE]],MasterTable[[Project Code and Name ]],1,FALSE)</f>
        <v>1546 Kisoro-Nkuringo-Rubugiri-Muko Road</v>
      </c>
      <c r="E97" s="2" t="s">
        <v>515</v>
      </c>
      <c r="F97" s="2" t="s">
        <v>944</v>
      </c>
      <c r="G97" s="2" t="s">
        <v>113</v>
      </c>
      <c r="H97" s="2" t="s">
        <v>1007</v>
      </c>
      <c r="I97" s="2" t="s">
        <v>624</v>
      </c>
      <c r="J97" s="2" t="s">
        <v>625</v>
      </c>
      <c r="K97" s="2" t="s">
        <v>1509</v>
      </c>
      <c r="L97" s="23">
        <v>43472</v>
      </c>
      <c r="M97" s="23">
        <v>45107</v>
      </c>
      <c r="N97" s="24">
        <v>200</v>
      </c>
      <c r="O97" s="20"/>
      <c r="P97" s="20">
        <f t="shared" si="4"/>
        <v>200</v>
      </c>
      <c r="Q97" s="53">
        <f>SUMIFS(MasterTable[Estimate of Arrears at end of the current FY 2020/21 (value)],MasterTable[[Project Code and Name ]],PAProjects5[[#This Row],[LINKING_CODE]],MasterTable[Funding Source],"GoU Funded")/10^9</f>
        <v>0</v>
      </c>
      <c r="R97" s="108">
        <f>SUMIFS(MasterTable[Arrears + All Contractual Commitments (value next FY)],MasterTable[[Project Code and Name ]],PAProjects5[[#This Row],[LINKING_CODE]],MasterTable[Funding Source],"GoU Funded")/10^9</f>
        <v>7.98</v>
      </c>
      <c r="S97" s="108">
        <f>SUMIFS(MasterTable[Arrears + All Contractual Commitments (value next FY)],MasterTable[[Project Code and Name ]],PAProjects5[[#This Row],[LINKING_CODE]],MasterTable[Funding Source],"External Financing")/10^9</f>
        <v>45.22</v>
      </c>
      <c r="T97" s="49">
        <f>PAProjects[[#This Row],[GOU 21/22]]+PAProjects[[#This Row],[DONOR 21/22]]</f>
        <v>53.2</v>
      </c>
      <c r="U97" s="107">
        <f>SUMIFS(MasterTable[FY1 (FY22-23)],MasterTable[[Project Code and Name ]],PAProjects5[[#This Row],[LINKING_CODE]],MasterTable[Funding Source],"GoU Funded")/10^9</f>
        <v>11.97</v>
      </c>
      <c r="V97" s="52">
        <f>SUMIFS(MasterTable[FY1 (FY22-23)],MasterTable[[Project Code and Name ]],PAProjects5[[#This Row],[LINKING_CODE]],MasterTable[Funding Source],"External Financing")/10^9</f>
        <v>67.83</v>
      </c>
      <c r="W97" s="49">
        <f>PAProjects[[#This Row],[GOU 22/23]]+PAProjects[[#This Row],[DONOR 22/23]]</f>
        <v>79.8</v>
      </c>
      <c r="X97" s="52">
        <f>SUMIFS(MasterTable[FY2 (FY23-24)],MasterTable[[Project Code and Name ]],PAProjects5[[#This Row],[LINKING_CODE]],MasterTable[Funding Source],"GoU Funded")/10^9</f>
        <v>0</v>
      </c>
      <c r="Y97" s="52">
        <f>SUMIFS(MasterTable[FY2 (FY23-24)],MasterTable[[Project Code and Name ]],PAProjects5[[#This Row],[LINKING_CODE]],MasterTable[Funding Source],"External Financing")/10^9</f>
        <v>0</v>
      </c>
      <c r="Z97" s="2">
        <f t="shared" si="6"/>
        <v>0</v>
      </c>
      <c r="AA97" s="52">
        <f>SUMIFS(MasterTable[FY3 (FY24-25)],MasterTable[[Project Code and Name ]],PAProjects5[[#This Row],[LINKING_CODE]],MasterTable[Funding Source],"GoU Funded")/10^9</f>
        <v>0</v>
      </c>
      <c r="AB97" s="52">
        <f>SUMIFS(MasterTable[FY3 (FY24-25)],MasterTable[[Project Code and Name ]],PAProjects5[[#This Row],[LINKING_CODE]],MasterTable[Funding Source],"External Financing")/10^9</f>
        <v>0</v>
      </c>
      <c r="AC97" s="49">
        <f>PAProjects[[#This Row],[GOU 24/25]]+PAProjects[[#This Row],[DONOR 24/25]]</f>
        <v>0</v>
      </c>
    </row>
    <row r="98" spans="1:29" ht="15" hidden="1" customHeight="1" x14ac:dyDescent="0.25">
      <c r="A98" s="21" t="s">
        <v>124</v>
      </c>
      <c r="B98" s="2" t="s">
        <v>415</v>
      </c>
      <c r="C98" s="2" t="e">
        <f ca="1">PAProjects5[[#This Row],[LINKING_CODE]]=_xlfn.CONCAT(PAProjects5[[#This Row],[Project Code]]," ",PAProjects5[[#This Row],[Project Name]])</f>
        <v>#NAME?</v>
      </c>
      <c r="D98" s="2" t="str">
        <f>VLOOKUP(PAProjects5[[#This Row],[LINKING_CODE]],MasterTable[[Project Code and Name ]],1,FALSE)</f>
        <v>1550 Namunsi-Sironko/Muyembe-Kapchorwa Section I</v>
      </c>
      <c r="E98" s="2" t="s">
        <v>515</v>
      </c>
      <c r="F98" s="2" t="s">
        <v>944</v>
      </c>
      <c r="G98" s="2" t="s">
        <v>113</v>
      </c>
      <c r="H98" s="2" t="s">
        <v>1007</v>
      </c>
      <c r="I98" s="2" t="s">
        <v>629</v>
      </c>
      <c r="J98" s="2" t="s">
        <v>630</v>
      </c>
      <c r="K98" s="2" t="s">
        <v>1509</v>
      </c>
      <c r="L98" s="23">
        <v>43472</v>
      </c>
      <c r="M98" s="23">
        <v>44742</v>
      </c>
      <c r="N98" s="24">
        <v>50.15</v>
      </c>
      <c r="O98" s="20"/>
      <c r="P98" s="20">
        <f t="shared" si="4"/>
        <v>50.15</v>
      </c>
      <c r="Q98" s="53">
        <f>SUMIFS(MasterTable[Estimate of Arrears at end of the current FY 2020/21 (value)],MasterTable[[Project Code and Name ]],PAProjects5[[#This Row],[LINKING_CODE]],MasterTable[Funding Source],"GoU Funded")/10^9</f>
        <v>0</v>
      </c>
      <c r="R98" s="108">
        <f>SUMIFS(MasterTable[Arrears + All Contractual Commitments (value next FY)],MasterTable[[Project Code and Name ]],PAProjects5[[#This Row],[LINKING_CODE]],MasterTable[Funding Source],"GoU Funded")/10^9</f>
        <v>0</v>
      </c>
      <c r="S98" s="108">
        <f>SUMIFS(MasterTable[Arrears + All Contractual Commitments (value next FY)],MasterTable[[Project Code and Name ]],PAProjects5[[#This Row],[LINKING_CODE]],MasterTable[Funding Source],"External Financing")/10^9</f>
        <v>0</v>
      </c>
      <c r="T98" s="49">
        <f>PAProjects[[#This Row],[GOU 21/22]]+PAProjects[[#This Row],[DONOR 21/22]]</f>
        <v>0</v>
      </c>
      <c r="U98" s="107">
        <f>SUMIFS(MasterTable[FY1 (FY22-23)],MasterTable[[Project Code and Name ]],PAProjects5[[#This Row],[LINKING_CODE]],MasterTable[Funding Source],"GoU Funded")/10^9</f>
        <v>0</v>
      </c>
      <c r="V98" s="52">
        <f>SUMIFS(MasterTable[FY1 (FY22-23)],MasterTable[[Project Code and Name ]],PAProjects5[[#This Row],[LINKING_CODE]],MasterTable[Funding Source],"External Financing")/10^9</f>
        <v>0</v>
      </c>
      <c r="W98" s="49">
        <f>PAProjects[[#This Row],[GOU 22/23]]+PAProjects[[#This Row],[DONOR 22/23]]</f>
        <v>0</v>
      </c>
      <c r="X98" s="52">
        <f>SUMIFS(MasterTable[FY2 (FY23-24)],MasterTable[[Project Code and Name ]],PAProjects5[[#This Row],[LINKING_CODE]],MasterTable[Funding Source],"GoU Funded")/10^9</f>
        <v>0</v>
      </c>
      <c r="Y98" s="52">
        <f>SUMIFS(MasterTable[FY2 (FY23-24)],MasterTable[[Project Code and Name ]],PAProjects5[[#This Row],[LINKING_CODE]],MasterTable[Funding Source],"External Financing")/10^9</f>
        <v>0</v>
      </c>
      <c r="Z98" s="2">
        <f t="shared" si="6"/>
        <v>0</v>
      </c>
      <c r="AA98" s="52">
        <f>SUMIFS(MasterTable[FY3 (FY24-25)],MasterTable[[Project Code and Name ]],PAProjects5[[#This Row],[LINKING_CODE]],MasterTable[Funding Source],"GoU Funded")/10^9</f>
        <v>0</v>
      </c>
      <c r="AB98" s="52">
        <f>SUMIFS(MasterTable[FY3 (FY24-25)],MasterTable[[Project Code and Name ]],PAProjects5[[#This Row],[LINKING_CODE]],MasterTable[Funding Source],"External Financing")/10^9</f>
        <v>0</v>
      </c>
      <c r="AC98" s="49">
        <f>PAProjects[[#This Row],[GOU 24/25]]+PAProjects[[#This Row],[DONOR 24/25]]</f>
        <v>0</v>
      </c>
    </row>
    <row r="99" spans="1:29" ht="15" hidden="1" customHeight="1" x14ac:dyDescent="0.25">
      <c r="A99" s="21" t="s">
        <v>125</v>
      </c>
      <c r="B99" s="2" t="s">
        <v>416</v>
      </c>
      <c r="C99" s="2" t="e">
        <f ca="1">PAProjects5[[#This Row],[LINKING_CODE]]=_xlfn.CONCAT(PAProjects5[[#This Row],[Project Code]]," ",PAProjects5[[#This Row],[Project Name]])</f>
        <v>#NAME?</v>
      </c>
      <c r="D99" s="2" t="str">
        <f>VLOOKUP(PAProjects5[[#This Row],[LINKING_CODE]],MasterTable[[Project Code and Name ]],1,FALSE)</f>
        <v>1552 Hoima-Katunguru Road</v>
      </c>
      <c r="E99" s="2" t="s">
        <v>515</v>
      </c>
      <c r="F99" s="2" t="s">
        <v>944</v>
      </c>
      <c r="G99" s="2" t="s">
        <v>113</v>
      </c>
      <c r="H99" s="2" t="s">
        <v>1007</v>
      </c>
      <c r="I99" s="2" t="s">
        <v>633</v>
      </c>
      <c r="J99" s="2" t="s">
        <v>634</v>
      </c>
      <c r="K99" s="2" t="s">
        <v>1509</v>
      </c>
      <c r="L99" s="23">
        <v>43472</v>
      </c>
      <c r="M99" s="23">
        <v>44742</v>
      </c>
      <c r="N99" s="24">
        <v>89.557000000000002</v>
      </c>
      <c r="O99" s="20"/>
      <c r="P99" s="20">
        <f t="shared" si="4"/>
        <v>89.557000000000002</v>
      </c>
      <c r="Q99" s="53">
        <f>SUMIFS(MasterTable[Estimate of Arrears at end of the current FY 2020/21 (value)],MasterTable[[Project Code and Name ]],PAProjects5[[#This Row],[LINKING_CODE]],MasterTable[Funding Source],"GoU Funded")/10^9</f>
        <v>0</v>
      </c>
      <c r="R99" s="108">
        <f>SUMIFS(MasterTable[Arrears + All Contractual Commitments (value next FY)],MasterTable[[Project Code and Name ]],PAProjects5[[#This Row],[LINKING_CODE]],MasterTable[Funding Source],"GoU Funded")/10^9</f>
        <v>47</v>
      </c>
      <c r="S99" s="108">
        <f>SUMIFS(MasterTable[Arrears + All Contractual Commitments (value next FY)],MasterTable[[Project Code and Name ]],PAProjects5[[#This Row],[LINKING_CODE]],MasterTable[Funding Source],"External Financing")/10^9</f>
        <v>0</v>
      </c>
      <c r="T99" s="49">
        <f>PAProjects[[#This Row],[GOU 21/22]]+PAProjects[[#This Row],[DONOR 21/22]]</f>
        <v>47</v>
      </c>
      <c r="U99" s="107">
        <f>SUMIFS(MasterTable[FY1 (FY22-23)],MasterTable[[Project Code and Name ]],PAProjects5[[#This Row],[LINKING_CODE]],MasterTable[Funding Source],"GoU Funded")/10^9</f>
        <v>0</v>
      </c>
      <c r="V99" s="52">
        <f>SUMIFS(MasterTable[FY1 (FY22-23)],MasterTable[[Project Code and Name ]],PAProjects5[[#This Row],[LINKING_CODE]],MasterTable[Funding Source],"External Financing")/10^9</f>
        <v>0</v>
      </c>
      <c r="W99" s="49">
        <f>PAProjects[[#This Row],[GOU 22/23]]+PAProjects[[#This Row],[DONOR 22/23]]</f>
        <v>0</v>
      </c>
      <c r="X99" s="52">
        <f>SUMIFS(MasterTable[FY2 (FY23-24)],MasterTable[[Project Code and Name ]],PAProjects5[[#This Row],[LINKING_CODE]],MasterTable[Funding Source],"GoU Funded")/10^9</f>
        <v>0</v>
      </c>
      <c r="Y99" s="52">
        <f>SUMIFS(MasterTable[FY2 (FY23-24)],MasterTable[[Project Code and Name ]],PAProjects5[[#This Row],[LINKING_CODE]],MasterTable[Funding Source],"External Financing")/10^9</f>
        <v>0</v>
      </c>
      <c r="Z99" s="2">
        <f t="shared" si="6"/>
        <v>0</v>
      </c>
      <c r="AA99" s="52">
        <f>SUMIFS(MasterTable[FY3 (FY24-25)],MasterTable[[Project Code and Name ]],PAProjects5[[#This Row],[LINKING_CODE]],MasterTable[Funding Source],"GoU Funded")/10^9</f>
        <v>0</v>
      </c>
      <c r="AB99" s="52">
        <f>SUMIFS(MasterTable[FY3 (FY24-25)],MasterTable[[Project Code and Name ]],PAProjects5[[#This Row],[LINKING_CODE]],MasterTable[Funding Source],"External Financing")/10^9</f>
        <v>0</v>
      </c>
      <c r="AC99" s="49">
        <f>PAProjects[[#This Row],[GOU 24/25]]+PAProjects[[#This Row],[DONOR 24/25]]</f>
        <v>0</v>
      </c>
    </row>
    <row r="100" spans="1:29" ht="15" hidden="1" customHeight="1" x14ac:dyDescent="0.25">
      <c r="A100" s="21" t="s">
        <v>126</v>
      </c>
      <c r="B100" s="2" t="s">
        <v>417</v>
      </c>
      <c r="C100" s="2" t="e">
        <f ca="1">PAProjects5[[#This Row],[LINKING_CODE]]=_xlfn.CONCAT(PAProjects5[[#This Row],[Project Code]]," ",PAProjects5[[#This Row],[Project Name]])</f>
        <v>#NAME?</v>
      </c>
      <c r="D100" s="2" t="str">
        <f>VLOOKUP(PAProjects5[[#This Row],[LINKING_CODE]],MasterTable[[Project Code and Name ]],1,FALSE)</f>
        <v>1554 Nakalama-Tirinyi-Mbale Road</v>
      </c>
      <c r="E100" s="2" t="s">
        <v>515</v>
      </c>
      <c r="F100" s="2" t="s">
        <v>944</v>
      </c>
      <c r="G100" s="2" t="s">
        <v>113</v>
      </c>
      <c r="H100" s="2" t="s">
        <v>1007</v>
      </c>
      <c r="I100" s="2" t="s">
        <v>637</v>
      </c>
      <c r="J100" s="2" t="s">
        <v>638</v>
      </c>
      <c r="K100" s="2" t="s">
        <v>1509</v>
      </c>
      <c r="L100" s="23">
        <v>43472</v>
      </c>
      <c r="M100" s="23">
        <v>44742</v>
      </c>
      <c r="N100" s="36">
        <v>73.36</v>
      </c>
      <c r="O100" s="20"/>
      <c r="P100" s="20">
        <f t="shared" si="4"/>
        <v>73.36</v>
      </c>
      <c r="Q100" s="53">
        <f>SUMIFS(MasterTable[Estimate of Arrears at end of the current FY 2020/21 (value)],MasterTable[[Project Code and Name ]],PAProjects5[[#This Row],[LINKING_CODE]],MasterTable[Funding Source],"GoU Funded")/10^9</f>
        <v>0</v>
      </c>
      <c r="R100" s="108">
        <f>SUMIFS(MasterTable[Arrears + All Contractual Commitments (value next FY)],MasterTable[[Project Code and Name ]],PAProjects5[[#This Row],[LINKING_CODE]],MasterTable[Funding Source],"GoU Funded")/10^9</f>
        <v>22.5</v>
      </c>
      <c r="S100" s="108">
        <f>SUMIFS(MasterTable[Arrears + All Contractual Commitments (value next FY)],MasterTable[[Project Code and Name ]],PAProjects5[[#This Row],[LINKING_CODE]],MasterTable[Funding Source],"External Financing")/10^9</f>
        <v>0</v>
      </c>
      <c r="T100" s="49">
        <f>PAProjects[[#This Row],[GOU 21/22]]+PAProjects[[#This Row],[DONOR 21/22]]</f>
        <v>22.5</v>
      </c>
      <c r="U100" s="107">
        <f>SUMIFS(MasterTable[FY1 (FY22-23)],MasterTable[[Project Code and Name ]],PAProjects5[[#This Row],[LINKING_CODE]],MasterTable[Funding Source],"GoU Funded")/10^9</f>
        <v>0</v>
      </c>
      <c r="V100" s="52">
        <f>SUMIFS(MasterTable[FY1 (FY22-23)],MasterTable[[Project Code and Name ]],PAProjects5[[#This Row],[LINKING_CODE]],MasterTable[Funding Source],"External Financing")/10^9</f>
        <v>0</v>
      </c>
      <c r="W100" s="49">
        <f>PAProjects[[#This Row],[GOU 22/23]]+PAProjects[[#This Row],[DONOR 22/23]]</f>
        <v>0</v>
      </c>
      <c r="X100" s="52">
        <f>SUMIFS(MasterTable[FY2 (FY23-24)],MasterTable[[Project Code and Name ]],PAProjects5[[#This Row],[LINKING_CODE]],MasterTable[Funding Source],"GoU Funded")/10^9</f>
        <v>0</v>
      </c>
      <c r="Y100" s="52">
        <f>SUMIFS(MasterTable[FY2 (FY23-24)],MasterTable[[Project Code and Name ]],PAProjects5[[#This Row],[LINKING_CODE]],MasterTable[Funding Source],"External Financing")/10^9</f>
        <v>0</v>
      </c>
      <c r="Z100" s="2">
        <f t="shared" si="6"/>
        <v>0</v>
      </c>
      <c r="AA100" s="52">
        <f>SUMIFS(MasterTable[FY3 (FY24-25)],MasterTable[[Project Code and Name ]],PAProjects5[[#This Row],[LINKING_CODE]],MasterTable[Funding Source],"GoU Funded")/10^9</f>
        <v>0</v>
      </c>
      <c r="AB100" s="52">
        <f>SUMIFS(MasterTable[FY3 (FY24-25)],MasterTable[[Project Code and Name ]],PAProjects5[[#This Row],[LINKING_CODE]],MasterTable[Funding Source],"External Financing")/10^9</f>
        <v>0</v>
      </c>
      <c r="AC100" s="49">
        <f>PAProjects[[#This Row],[GOU 24/25]]+PAProjects[[#This Row],[DONOR 24/25]]</f>
        <v>0</v>
      </c>
    </row>
    <row r="101" spans="1:29" ht="15" hidden="1" customHeight="1" x14ac:dyDescent="0.25">
      <c r="A101" s="21" t="s">
        <v>1018</v>
      </c>
      <c r="B101" s="2" t="s">
        <v>440</v>
      </c>
      <c r="C101" s="2" t="e">
        <f ca="1">PAProjects5[[#This Row],[LINKING_CODE]]=_xlfn.CONCAT(PAProjects5[[#This Row],[Project Code]]," ",PAProjects5[[#This Row],[Project Name]])</f>
        <v>#NAME?</v>
      </c>
      <c r="D101" s="2" t="str">
        <f>VLOOKUP(PAProjects5[[#This Row],[LINKING_CODE]],MasterTable[[Project Code and Name ]],1,FALSE)</f>
        <v>1558 Rural Bridges Infrastructure Development</v>
      </c>
      <c r="E101" s="2" t="s">
        <v>515</v>
      </c>
      <c r="F101" s="2" t="s">
        <v>944</v>
      </c>
      <c r="G101" s="2" t="s">
        <v>99</v>
      </c>
      <c r="H101" s="2" t="s">
        <v>1007</v>
      </c>
      <c r="I101" s="2" t="s">
        <v>610</v>
      </c>
      <c r="J101" s="2" t="s">
        <v>1019</v>
      </c>
      <c r="K101" s="2" t="s">
        <v>1509</v>
      </c>
      <c r="L101" s="23">
        <v>43472</v>
      </c>
      <c r="M101" s="23">
        <v>45473</v>
      </c>
      <c r="N101" s="24">
        <v>300</v>
      </c>
      <c r="O101" s="20"/>
      <c r="P101" s="20">
        <f t="shared" si="4"/>
        <v>300</v>
      </c>
      <c r="Q101" s="53">
        <f>SUMIFS(MasterTable[Estimate of Arrears at end of the current FY 2020/21 (value)],MasterTable[[Project Code and Name ]],PAProjects5[[#This Row],[LINKING_CODE]],MasterTable[Funding Source],"GoU Funded")/10^9</f>
        <v>0</v>
      </c>
      <c r="R101" s="108">
        <f>SUMIFS(MasterTable[Arrears + All Contractual Commitments (value next FY)],MasterTable[[Project Code and Name ]],PAProjects5[[#This Row],[LINKING_CODE]],MasterTable[Funding Source],"GoU Funded")/10^9</f>
        <v>21.3</v>
      </c>
      <c r="S101" s="108">
        <f>SUMIFS(MasterTable[Arrears + All Contractual Commitments (value next FY)],MasterTable[[Project Code and Name ]],PAProjects5[[#This Row],[LINKING_CODE]],MasterTable[Funding Source],"External Financing")/10^9</f>
        <v>0</v>
      </c>
      <c r="T101" s="34">
        <f>PAProjects[[#This Row],[GOU 21/22]]+PAProjects[[#This Row],[DONOR 21/22]]</f>
        <v>21.3</v>
      </c>
      <c r="U101" s="107">
        <f>SUMIFS(MasterTable[FY1 (FY22-23)],MasterTable[[Project Code and Name ]],PAProjects5[[#This Row],[LINKING_CODE]],MasterTable[Funding Source],"GoU Funded")/10^9</f>
        <v>80</v>
      </c>
      <c r="V101" s="52">
        <f>SUMIFS(MasterTable[FY1 (FY22-23)],MasterTable[[Project Code and Name ]],PAProjects5[[#This Row],[LINKING_CODE]],MasterTable[Funding Source],"External Financing")/10^9</f>
        <v>0</v>
      </c>
      <c r="W101" s="34">
        <f>PAProjects[[#This Row],[GOU 22/23]]+PAProjects[[#This Row],[DONOR 22/23]]</f>
        <v>80</v>
      </c>
      <c r="X101" s="52">
        <f>SUMIFS(MasterTable[FY2 (FY23-24)],MasterTable[[Project Code and Name ]],PAProjects5[[#This Row],[LINKING_CODE]],MasterTable[Funding Source],"GoU Funded")/10^9</f>
        <v>100</v>
      </c>
      <c r="Y101" s="52">
        <f>SUMIFS(MasterTable[FY2 (FY23-24)],MasterTable[[Project Code and Name ]],PAProjects5[[#This Row],[LINKING_CODE]],MasterTable[Funding Source],"External Financing")/10^9</f>
        <v>0</v>
      </c>
      <c r="Z101" s="34">
        <f t="shared" si="6"/>
        <v>100</v>
      </c>
      <c r="AA101" s="52">
        <f>SUMIFS(MasterTable[FY3 (FY24-25)],MasterTable[[Project Code and Name ]],PAProjects5[[#This Row],[LINKING_CODE]],MasterTable[Funding Source],"GoU Funded")/10^9</f>
        <v>0</v>
      </c>
      <c r="AB101" s="52">
        <f>SUMIFS(MasterTable[FY3 (FY24-25)],MasterTable[[Project Code and Name ]],PAProjects5[[#This Row],[LINKING_CODE]],MasterTable[Funding Source],"External Financing")/10^9</f>
        <v>0</v>
      </c>
      <c r="AC101" s="49">
        <f>PAProjects[[#This Row],[GOU 24/25]]+PAProjects[[#This Row],[DONOR 24/25]]</f>
        <v>0</v>
      </c>
    </row>
    <row r="102" spans="1:29" ht="15" hidden="1" customHeight="1" x14ac:dyDescent="0.25">
      <c r="A102" s="21" t="s">
        <v>1020</v>
      </c>
      <c r="B102" s="2" t="s">
        <v>441</v>
      </c>
      <c r="C102" s="2" t="e">
        <f ca="1">PAProjects5[[#This Row],[LINKING_CODE]]=_xlfn.CONCAT(PAProjects5[[#This Row],[Project Code]]," ",PAProjects5[[#This Row],[Project Name]])</f>
        <v>#NAME?</v>
      </c>
      <c r="D102" s="2" t="str">
        <f>VLOOKUP(PAProjects5[[#This Row],[LINKING_CODE]],MasterTable[[Project Code and Name ]],1,FALSE)</f>
        <v xml:space="preserve">1563 URC Capacity Building Project </v>
      </c>
      <c r="E102" s="2" t="s">
        <v>515</v>
      </c>
      <c r="F102" s="2" t="s">
        <v>944</v>
      </c>
      <c r="G102" s="2" t="s">
        <v>99</v>
      </c>
      <c r="H102" s="2" t="s">
        <v>1007</v>
      </c>
      <c r="I102" s="2" t="s">
        <v>1021</v>
      </c>
      <c r="J102" s="2" t="s">
        <v>641</v>
      </c>
      <c r="K102" s="2" t="s">
        <v>1509</v>
      </c>
      <c r="L102" s="23">
        <v>44013</v>
      </c>
      <c r="M102" s="23">
        <v>45838</v>
      </c>
      <c r="N102" s="40">
        <v>77.760000000000005</v>
      </c>
      <c r="O102" s="40">
        <v>1407.33</v>
      </c>
      <c r="P102" s="39">
        <f t="shared" si="4"/>
        <v>1485.09</v>
      </c>
      <c r="Q102" s="54">
        <f>SUMIFS(MasterTable[Estimate of Arrears at end of the current FY 2020/21 (value)],MasterTable[[Project Code and Name ]],PAProjects5[[#This Row],[LINKING_CODE]],MasterTable[Funding Source],"GoU Funded")/10^9</f>
        <v>0</v>
      </c>
      <c r="R102" s="108">
        <f>SUMIFS(MasterTable[Arrears + All Contractual Commitments (value next FY)],MasterTable[[Project Code and Name ]],PAProjects5[[#This Row],[LINKING_CODE]],MasterTable[Funding Source],"GoU Funded")/10^9</f>
        <v>2</v>
      </c>
      <c r="S102" s="108">
        <f>SUMIFS(MasterTable[Arrears + All Contractual Commitments (value next FY)],MasterTable[[Project Code and Name ]],PAProjects5[[#This Row],[LINKING_CODE]],MasterTable[Funding Source],"External Financing")/10^9</f>
        <v>0</v>
      </c>
      <c r="T102" s="39">
        <f>PAProjects[[#This Row],[GOU 21/22]]+PAProjects[[#This Row],[DONOR 21/22]]</f>
        <v>2</v>
      </c>
      <c r="U102" s="107">
        <f>SUMIFS(MasterTable[FY1 (FY22-23)],MasterTable[[Project Code and Name ]],PAProjects5[[#This Row],[LINKING_CODE]],MasterTable[Funding Source],"GoU Funded")/10^9</f>
        <v>10</v>
      </c>
      <c r="V102" s="52">
        <f>SUMIFS(MasterTable[FY1 (FY22-23)],MasterTable[[Project Code and Name ]],PAProjects5[[#This Row],[LINKING_CODE]],MasterTable[Funding Source],"External Financing")/10^9</f>
        <v>265.95</v>
      </c>
      <c r="W102" s="39">
        <f>PAProjects[[#This Row],[GOU 22/23]]+PAProjects[[#This Row],[DONOR 22/23]]</f>
        <v>275.95</v>
      </c>
      <c r="X102" s="52">
        <f>SUMIFS(MasterTable[FY2 (FY23-24)],MasterTable[[Project Code and Name ]],PAProjects5[[#This Row],[LINKING_CODE]],MasterTable[Funding Source],"GoU Funded")/10^9</f>
        <v>6</v>
      </c>
      <c r="Y102" s="52">
        <f>SUMIFS(MasterTable[FY2 (FY23-24)],MasterTable[[Project Code and Name ]],PAProjects5[[#This Row],[LINKING_CODE]],MasterTable[Funding Source],"External Financing")/10^9</f>
        <v>271.00667285999998</v>
      </c>
      <c r="Z102" s="39">
        <f t="shared" si="6"/>
        <v>277.00667285999998</v>
      </c>
      <c r="AA102" s="52">
        <f>SUMIFS(MasterTable[FY3 (FY24-25)],MasterTable[[Project Code and Name ]],PAProjects5[[#This Row],[LINKING_CODE]],MasterTable[Funding Source],"GoU Funded")/10^9</f>
        <v>8</v>
      </c>
      <c r="AB102" s="52">
        <f>SUMIFS(MasterTable[FY3 (FY24-25)],MasterTable[[Project Code and Name ]],PAProjects5[[#This Row],[LINKING_CODE]],MasterTable[Funding Source],"External Financing")/10^9</f>
        <v>391.50494063999997</v>
      </c>
      <c r="AC102" s="29">
        <f>PAProjects[[#This Row],[GOU 24/25]]+PAProjects[[#This Row],[DONOR 24/25]]</f>
        <v>399.50494063999997</v>
      </c>
    </row>
    <row r="103" spans="1:29" ht="15" hidden="1" customHeight="1" x14ac:dyDescent="0.25">
      <c r="A103" s="21" t="s">
        <v>1022</v>
      </c>
      <c r="B103" s="2" t="s">
        <v>442</v>
      </c>
      <c r="C103" s="2" t="e">
        <f ca="1">PAProjects5[[#This Row],[LINKING_CODE]]=_xlfn.CONCAT(PAProjects5[[#This Row],[Project Code]]," ",PAProjects5[[#This Row],[Project Name]])</f>
        <v>#NAME?</v>
      </c>
      <c r="D103" s="2" t="str">
        <f>VLOOKUP(PAProjects5[[#This Row],[LINKING_CODE]],MasterTable[[Project Code and Name ]],1,FALSE)</f>
        <v>1564 Community Roads Improvement Project</v>
      </c>
      <c r="E103" s="2" t="s">
        <v>515</v>
      </c>
      <c r="F103" s="2" t="s">
        <v>944</v>
      </c>
      <c r="G103" s="2" t="s">
        <v>99</v>
      </c>
      <c r="H103" s="2" t="s">
        <v>1007</v>
      </c>
      <c r="I103" s="2" t="s">
        <v>1023</v>
      </c>
      <c r="J103" s="2" t="s">
        <v>643</v>
      </c>
      <c r="K103" s="2" t="s">
        <v>1509</v>
      </c>
      <c r="L103" s="23">
        <v>44013</v>
      </c>
      <c r="M103" s="23">
        <v>45838</v>
      </c>
      <c r="N103" s="41">
        <v>391.6</v>
      </c>
      <c r="O103" s="42">
        <v>0</v>
      </c>
      <c r="P103" s="20">
        <f t="shared" si="4"/>
        <v>391.6</v>
      </c>
      <c r="Q103" s="53">
        <f>SUMIFS(MasterTable[Estimate of Arrears at end of the current FY 2020/21 (value)],MasterTable[[Project Code and Name ]],PAProjects5[[#This Row],[LINKING_CODE]],MasterTable[Funding Source],"GoU Funded")/10^9</f>
        <v>0</v>
      </c>
      <c r="R103" s="108">
        <f>SUMIFS(MasterTable[Arrears + All Contractual Commitments (value next FY)],MasterTable[[Project Code and Name ]],PAProjects5[[#This Row],[LINKING_CODE]],MasterTable[Funding Source],"GoU Funded")/10^9</f>
        <v>50</v>
      </c>
      <c r="S103" s="108">
        <f>SUMIFS(MasterTable[Arrears + All Contractual Commitments (value next FY)],MasterTable[[Project Code and Name ]],PAProjects5[[#This Row],[LINKING_CODE]],MasterTable[Funding Source],"External Financing")/10^9</f>
        <v>0</v>
      </c>
      <c r="T103" s="29">
        <f>PAProjects[[#This Row],[GOU 21/22]]+PAProjects[[#This Row],[DONOR 21/22]]</f>
        <v>50</v>
      </c>
      <c r="U103" s="107">
        <f>SUMIFS(MasterTable[FY1 (FY22-23)],MasterTable[[Project Code and Name ]],PAProjects5[[#This Row],[LINKING_CODE]],MasterTable[Funding Source],"GoU Funded")/10^9</f>
        <v>98.656000000000006</v>
      </c>
      <c r="V103" s="52">
        <f>SUMIFS(MasterTable[FY1 (FY22-23)],MasterTable[[Project Code and Name ]],PAProjects5[[#This Row],[LINKING_CODE]],MasterTable[Funding Source],"External Financing")/10^9</f>
        <v>0</v>
      </c>
      <c r="W103" s="29">
        <f>PAProjects[[#This Row],[GOU 22/23]]+PAProjects[[#This Row],[DONOR 22/23]]</f>
        <v>98.656000000000006</v>
      </c>
      <c r="X103" s="52">
        <f>SUMIFS(MasterTable[FY2 (FY23-24)],MasterTable[[Project Code and Name ]],PAProjects5[[#This Row],[LINKING_CODE]],MasterTable[Funding Source],"GoU Funded")/10^9</f>
        <v>78.328000000000003</v>
      </c>
      <c r="Y103" s="52">
        <f>SUMIFS(MasterTable[FY2 (FY23-24)],MasterTable[[Project Code and Name ]],PAProjects5[[#This Row],[LINKING_CODE]],MasterTable[Funding Source],"External Financing")/10^9</f>
        <v>0</v>
      </c>
      <c r="Z103" s="29">
        <f t="shared" si="6"/>
        <v>78.328000000000003</v>
      </c>
      <c r="AA103" s="52">
        <f>SUMIFS(MasterTable[FY3 (FY24-25)],MasterTable[[Project Code and Name ]],PAProjects5[[#This Row],[LINKING_CODE]],MasterTable[Funding Source],"GoU Funded")/10^9</f>
        <v>78.328000000000003</v>
      </c>
      <c r="AB103" s="52">
        <f>SUMIFS(MasterTable[FY3 (FY24-25)],MasterTable[[Project Code and Name ]],PAProjects5[[#This Row],[LINKING_CODE]],MasterTable[Funding Source],"External Financing")/10^9</f>
        <v>0</v>
      </c>
      <c r="AC103" s="29">
        <f>PAProjects[[#This Row],[GOU 24/25]]+PAProjects[[#This Row],[DONOR 24/25]]</f>
        <v>78.328000000000003</v>
      </c>
    </row>
    <row r="104" spans="1:29" ht="15" hidden="1" customHeight="1" x14ac:dyDescent="0.25">
      <c r="A104" s="21" t="s">
        <v>186</v>
      </c>
      <c r="B104" s="2" t="s">
        <v>91</v>
      </c>
      <c r="C104" s="2" t="e">
        <f ca="1">PAProjects5[[#This Row],[LINKING_CODE]]=_xlfn.CONCAT(PAProjects5[[#This Row],[Project Code]]," ",PAProjects5[[#This Row],[Project Name]])</f>
        <v>#NAME?</v>
      </c>
      <c r="D104" s="2" t="str">
        <f>VLOOKUP(PAProjects5[[#This Row],[LINKING_CODE]],MasterTable[[Project Code and Name ]],1,FALSE)</f>
        <v>1566 Retooling of Ministry of Health</v>
      </c>
      <c r="E104" s="2" t="s">
        <v>520</v>
      </c>
      <c r="F104" s="2" t="s">
        <v>975</v>
      </c>
      <c r="G104" s="2" t="s">
        <v>97</v>
      </c>
      <c r="H104" s="2" t="s">
        <v>1113</v>
      </c>
      <c r="I104" s="2" t="s">
        <v>1143</v>
      </c>
      <c r="J104" s="2" t="s">
        <v>728</v>
      </c>
      <c r="K104" s="2" t="str">
        <f t="shared" ref="K104:K128" si="7">IF(ISERROR(SEARCH("Retooling",J104))=FALSE,"Retooling","")</f>
        <v>Retooling</v>
      </c>
      <c r="L104" s="23">
        <v>44013</v>
      </c>
      <c r="M104" s="23">
        <v>45838</v>
      </c>
      <c r="N104" s="24">
        <v>24.8</v>
      </c>
      <c r="O104" s="20"/>
      <c r="P104" s="20">
        <f t="shared" si="4"/>
        <v>24.8</v>
      </c>
      <c r="Q104" s="53">
        <f>SUMIFS(MasterTable[Estimate of Arrears at end of the current FY 2020/21 (value)],MasterTable[[Project Code and Name ]],PAProjects5[[#This Row],[LINKING_CODE]],MasterTable[Funding Source],"GoU Funded")/10^9</f>
        <v>0</v>
      </c>
      <c r="R104" s="108">
        <f>SUMIFS(MasterTable[Arrears + All Contractual Commitments (value next FY)],MasterTable[[Project Code and Name ]],PAProjects5[[#This Row],[LINKING_CODE]],MasterTable[Funding Source],"GoU Funded")/10^9</f>
        <v>21.271167287000001</v>
      </c>
      <c r="S104" s="108">
        <f>SUMIFS(MasterTable[Arrears + All Contractual Commitments (value next FY)],MasterTable[[Project Code and Name ]],PAProjects5[[#This Row],[LINKING_CODE]],MasterTable[Funding Source],"External Financing")/10^9</f>
        <v>0</v>
      </c>
      <c r="T104" s="29">
        <f>PAProjects[[#This Row],[GOU 21/22]]+PAProjects[[#This Row],[DONOR 21/22]]</f>
        <v>21.271167287000001</v>
      </c>
      <c r="U104" s="107">
        <f>SUMIFS(MasterTable[FY1 (FY22-23)],MasterTable[[Project Code and Name ]],PAProjects5[[#This Row],[LINKING_CODE]],MasterTable[Funding Source],"GoU Funded")/10^9</f>
        <v>1.4711672870000001</v>
      </c>
      <c r="V104" s="52">
        <f>SUMIFS(MasterTable[FY1 (FY22-23)],MasterTable[[Project Code and Name ]],PAProjects5[[#This Row],[LINKING_CODE]],MasterTable[Funding Source],"External Financing")/10^9</f>
        <v>0</v>
      </c>
      <c r="W104" s="29">
        <f>PAProjects[[#This Row],[GOU 22/23]]+PAProjects[[#This Row],[DONOR 22/23]]</f>
        <v>1.4711672870000001</v>
      </c>
      <c r="X104" s="52">
        <f>SUMIFS(MasterTable[FY2 (FY23-24)],MasterTable[[Project Code and Name ]],PAProjects5[[#This Row],[LINKING_CODE]],MasterTable[Funding Source],"GoU Funded")/10^9</f>
        <v>2.6911672869999999</v>
      </c>
      <c r="Y104" s="52">
        <f>SUMIFS(MasterTable[FY2 (FY23-24)],MasterTable[[Project Code and Name ]],PAProjects5[[#This Row],[LINKING_CODE]],MasterTable[Funding Source],"External Financing")/10^9</f>
        <v>0</v>
      </c>
      <c r="Z104" s="29">
        <f t="shared" si="6"/>
        <v>2.6911672869999999</v>
      </c>
      <c r="AA104" s="52">
        <f>SUMIFS(MasterTable[FY3 (FY24-25)],MasterTable[[Project Code and Name ]],PAProjects5[[#This Row],[LINKING_CODE]],MasterTable[Funding Source],"GoU Funded")/10^9</f>
        <v>2.855</v>
      </c>
      <c r="AB104" s="52">
        <f>SUMIFS(MasterTable[FY3 (FY24-25)],MasterTable[[Project Code and Name ]],PAProjects5[[#This Row],[LINKING_CODE]],MasterTable[Funding Source],"External Financing")/10^9</f>
        <v>0</v>
      </c>
      <c r="AC104" s="29">
        <f>PAProjects[[#This Row],[GOU 24/25]]+PAProjects[[#This Row],[DONOR 24/25]]</f>
        <v>2.855</v>
      </c>
    </row>
    <row r="105" spans="1:29" ht="15" hidden="1" customHeight="1" x14ac:dyDescent="0.25">
      <c r="A105" s="21" t="s">
        <v>160</v>
      </c>
      <c r="B105" s="2" t="s">
        <v>64</v>
      </c>
      <c r="C105" s="2" t="e">
        <f ca="1">PAProjects5[[#This Row],[LINKING_CODE]]=_xlfn.CONCAT(PAProjects5[[#This Row],[Project Code]]," ",PAProjects5[[#This Row],[Project Name]])</f>
        <v>#NAME?</v>
      </c>
      <c r="D105" s="2" t="str">
        <f>VLOOKUP(PAProjects5[[#This Row],[LINKING_CODE]],MasterTable[[Project Code and Name ]],1,FALSE)</f>
        <v>1594 Retooling of Ministry of Energy and Mineral Development (PhaseII)</v>
      </c>
      <c r="E105" s="2" t="s">
        <v>513</v>
      </c>
      <c r="F105" s="2" t="s">
        <v>1089</v>
      </c>
      <c r="G105" s="2" t="s">
        <v>66</v>
      </c>
      <c r="H105" s="2" t="s">
        <v>1113</v>
      </c>
      <c r="I105" s="2" t="s">
        <v>1117</v>
      </c>
      <c r="J105" s="2" t="s">
        <v>1118</v>
      </c>
      <c r="K105" s="2" t="str">
        <f t="shared" si="7"/>
        <v>Retooling</v>
      </c>
      <c r="L105" s="23">
        <v>44013</v>
      </c>
      <c r="M105" s="23">
        <v>45838</v>
      </c>
      <c r="N105" s="30">
        <v>174</v>
      </c>
      <c r="O105" s="20"/>
      <c r="P105" s="20">
        <f t="shared" si="4"/>
        <v>174</v>
      </c>
      <c r="Q105" s="53">
        <f>SUMIFS(MasterTable[Estimate of Arrears at end of the current FY 2020/21 (value)],MasterTable[[Project Code and Name ]],PAProjects5[[#This Row],[LINKING_CODE]],MasterTable[Funding Source],"GoU Funded")/10^9</f>
        <v>0</v>
      </c>
      <c r="R105" s="108">
        <f>SUMIFS(MasterTable[Arrears + All Contractual Commitments (value next FY)],MasterTable[[Project Code and Name ]],PAProjects5[[#This Row],[LINKING_CODE]],MasterTable[Funding Source],"GoU Funded")/10^9</f>
        <v>29.9</v>
      </c>
      <c r="S105" s="108">
        <f>SUMIFS(MasterTable[Arrears + All Contractual Commitments (value next FY)],MasterTable[[Project Code and Name ]],PAProjects5[[#This Row],[LINKING_CODE]],MasterTable[Funding Source],"External Financing")/10^9</f>
        <v>0</v>
      </c>
      <c r="T105" s="29">
        <f>PAProjects[[#This Row],[GOU 21/22]]+PAProjects[[#This Row],[DONOR 21/22]]</f>
        <v>29.9</v>
      </c>
      <c r="U105" s="107">
        <f>SUMIFS(MasterTable[FY1 (FY22-23)],MasterTable[[Project Code and Name ]],PAProjects5[[#This Row],[LINKING_CODE]],MasterTable[Funding Source],"GoU Funded")/10^9</f>
        <v>43.002028000000003</v>
      </c>
      <c r="V105" s="52">
        <f>SUMIFS(MasterTable[FY1 (FY22-23)],MasterTable[[Project Code and Name ]],PAProjects5[[#This Row],[LINKING_CODE]],MasterTable[Funding Source],"External Financing")/10^9</f>
        <v>0</v>
      </c>
      <c r="W105" s="29">
        <f>PAProjects[[#This Row],[GOU 22/23]]+PAProjects[[#This Row],[DONOR 22/23]]</f>
        <v>43.002028000000003</v>
      </c>
      <c r="X105" s="52">
        <f>SUMIFS(MasterTable[FY2 (FY23-24)],MasterTable[[Project Code and Name ]],PAProjects5[[#This Row],[LINKING_CODE]],MasterTable[Funding Source],"GoU Funded")/10^9</f>
        <v>47.002028000000003</v>
      </c>
      <c r="Y105" s="52">
        <f>SUMIFS(MasterTable[FY2 (FY23-24)],MasterTable[[Project Code and Name ]],PAProjects5[[#This Row],[LINKING_CODE]],MasterTable[Funding Source],"External Financing")/10^9</f>
        <v>0</v>
      </c>
      <c r="Z105" s="29">
        <f t="shared" si="6"/>
        <v>47.002028000000003</v>
      </c>
      <c r="AA105" s="52">
        <f>SUMIFS(MasterTable[FY3 (FY24-25)],MasterTable[[Project Code and Name ]],PAProjects5[[#This Row],[LINKING_CODE]],MasterTable[Funding Source],"GoU Funded")/10^9</f>
        <v>44.002028000000003</v>
      </c>
      <c r="AB105" s="52">
        <f>SUMIFS(MasterTable[FY3 (FY24-25)],MasterTable[[Project Code and Name ]],PAProjects5[[#This Row],[LINKING_CODE]],MasterTable[Funding Source],"External Financing")/10^9</f>
        <v>0</v>
      </c>
      <c r="AC105" s="29">
        <f>PAProjects[[#This Row],[GOU 24/25]]+PAProjects[[#This Row],[DONOR 24/25]]</f>
        <v>44.002028000000003</v>
      </c>
    </row>
    <row r="106" spans="1:29" ht="15" hidden="1" customHeight="1" x14ac:dyDescent="0.25">
      <c r="A106" s="21" t="s">
        <v>263</v>
      </c>
      <c r="B106" s="2" t="s">
        <v>362</v>
      </c>
      <c r="C106" s="2" t="e">
        <f ca="1">PAProjects5[[#This Row],[LINKING_CODE]]=_xlfn.CONCAT(PAProjects5[[#This Row],[Project Code]]," ",PAProjects5[[#This Row],[Project Name]])</f>
        <v>#NAME?</v>
      </c>
      <c r="D106" s="2" t="str">
        <f>VLOOKUP(PAProjects5[[#This Row],[LINKING_CODE]],MasterTable[[Project Code and Name ]],1,FALSE)</f>
        <v>1597 Retooling of Ministry of Science, Technology and Innovation</v>
      </c>
      <c r="E106" s="2" t="s">
        <v>537</v>
      </c>
      <c r="F106" s="2" t="s">
        <v>997</v>
      </c>
      <c r="G106" s="2" t="s">
        <v>72</v>
      </c>
      <c r="H106" s="2" t="s">
        <v>1113</v>
      </c>
      <c r="I106" s="2" t="s">
        <v>1226</v>
      </c>
      <c r="J106" s="2" t="s">
        <v>1227</v>
      </c>
      <c r="K106" s="2" t="str">
        <f t="shared" si="7"/>
        <v>Retooling</v>
      </c>
      <c r="L106" s="26">
        <v>44013</v>
      </c>
      <c r="M106" s="23">
        <v>45838</v>
      </c>
      <c r="N106" s="36">
        <v>52.32</v>
      </c>
      <c r="O106" s="20"/>
      <c r="P106" s="20">
        <f t="shared" si="4"/>
        <v>52.32</v>
      </c>
      <c r="Q106" s="53">
        <f>SUMIFS(MasterTable[Estimate of Arrears at end of the current FY 2020/21 (value)],MasterTable[[Project Code and Name ]],PAProjects5[[#This Row],[LINKING_CODE]],MasterTable[Funding Source],"GoU Funded")/10^9</f>
        <v>0</v>
      </c>
      <c r="R106" s="108">
        <f>SUMIFS(MasterTable[Arrears + All Contractual Commitments (value next FY)],MasterTable[[Project Code and Name ]],PAProjects5[[#This Row],[LINKING_CODE]],MasterTable[Funding Source],"GoU Funded")/10^9</f>
        <v>207.71100000000001</v>
      </c>
      <c r="S106" s="108">
        <f>SUMIFS(MasterTable[Arrears + All Contractual Commitments (value next FY)],MasterTable[[Project Code and Name ]],PAProjects5[[#This Row],[LINKING_CODE]],MasterTable[Funding Source],"External Financing")/10^9</f>
        <v>0</v>
      </c>
      <c r="T106" s="29">
        <f>PAProjects[[#This Row],[GOU 21/22]]+PAProjects[[#This Row],[DONOR 21/22]]</f>
        <v>207.71100000000001</v>
      </c>
      <c r="U106" s="107">
        <f>SUMIFS(MasterTable[FY1 (FY22-23)],MasterTable[[Project Code and Name ]],PAProjects5[[#This Row],[LINKING_CODE]],MasterTable[Funding Source],"GoU Funded")/10^9</f>
        <v>188.86510000000001</v>
      </c>
      <c r="V106" s="52">
        <f>SUMIFS(MasterTable[FY1 (FY22-23)],MasterTable[[Project Code and Name ]],PAProjects5[[#This Row],[LINKING_CODE]],MasterTable[Funding Source],"External Financing")/10^9</f>
        <v>0</v>
      </c>
      <c r="W106" s="29">
        <f>PAProjects[[#This Row],[GOU 22/23]]+PAProjects[[#This Row],[DONOR 22/23]]</f>
        <v>188.86510000000001</v>
      </c>
      <c r="X106" s="52">
        <f>SUMIFS(MasterTable[FY2 (FY23-24)],MasterTable[[Project Code and Name ]],PAProjects5[[#This Row],[LINKING_CODE]],MasterTable[Funding Source],"GoU Funded")/10^9</f>
        <v>270.49840999999998</v>
      </c>
      <c r="Y106" s="52">
        <f>SUMIFS(MasterTable[FY2 (FY23-24)],MasterTable[[Project Code and Name ]],PAProjects5[[#This Row],[LINKING_CODE]],MasterTable[Funding Source],"External Financing")/10^9</f>
        <v>0</v>
      </c>
      <c r="Z106" s="29">
        <f>SUM(X106:Y106)</f>
        <v>270.49840999999998</v>
      </c>
      <c r="AA106" s="52">
        <f>SUMIFS(MasterTable[FY3 (FY24-25)],MasterTable[[Project Code and Name ]],PAProjects5[[#This Row],[LINKING_CODE]],MasterTable[Funding Source],"GoU Funded")/10^9</f>
        <v>7.0549999999999997</v>
      </c>
      <c r="AB106" s="52">
        <f>SUMIFS(MasterTable[FY3 (FY24-25)],MasterTable[[Project Code and Name ]],PAProjects5[[#This Row],[LINKING_CODE]],MasterTable[Funding Source],"External Financing")/10^9</f>
        <v>0</v>
      </c>
      <c r="AC106" s="29">
        <f>PAProjects[[#This Row],[GOU 24/25]]+PAProjects[[#This Row],[DONOR 24/25]]</f>
        <v>7.0549999999999997</v>
      </c>
    </row>
    <row r="107" spans="1:29" ht="15" hidden="1" customHeight="1" x14ac:dyDescent="0.25">
      <c r="A107" s="21" t="s">
        <v>166</v>
      </c>
      <c r="B107" s="2" t="s">
        <v>342</v>
      </c>
      <c r="C107" s="2" t="e">
        <f ca="1">PAProjects5[[#This Row],[LINKING_CODE]]=_xlfn.CONCAT(PAProjects5[[#This Row],[Project Code]]," ",PAProjects5[[#This Row],[Project Name]])</f>
        <v>#NAME?</v>
      </c>
      <c r="D107" s="2" t="str">
        <f>VLOOKUP(PAProjects5[[#This Row],[LINKING_CODE]],MasterTable[[Project Code and Name ]],1,FALSE)</f>
        <v>1600 Retooling of Ministry of ICT &amp; National Guidance</v>
      </c>
      <c r="E107" s="2" t="s">
        <v>516</v>
      </c>
      <c r="F107" s="2" t="s">
        <v>948</v>
      </c>
      <c r="G107" s="2" t="s">
        <v>69</v>
      </c>
      <c r="H107" s="2" t="s">
        <v>1113</v>
      </c>
      <c r="I107" s="2" t="s">
        <v>1123</v>
      </c>
      <c r="J107" s="2" t="s">
        <v>659</v>
      </c>
      <c r="K107" s="2" t="str">
        <f t="shared" si="7"/>
        <v>Retooling</v>
      </c>
      <c r="L107" s="23">
        <v>44013</v>
      </c>
      <c r="M107" s="23">
        <v>45838</v>
      </c>
      <c r="N107" s="20">
        <v>7</v>
      </c>
      <c r="O107" s="20"/>
      <c r="P107" s="20">
        <f t="shared" si="4"/>
        <v>7</v>
      </c>
      <c r="Q107" s="53">
        <f>SUMIFS(MasterTable[Estimate of Arrears at end of the current FY 2020/21 (value)],MasterTable[[Project Code and Name ]],PAProjects5[[#This Row],[LINKING_CODE]],MasterTable[Funding Source],"GoU Funded")/10^9</f>
        <v>0</v>
      </c>
      <c r="R107" s="108">
        <f>SUMIFS(MasterTable[Arrears + All Contractual Commitments (value next FY)],MasterTable[[Project Code and Name ]],PAProjects5[[#This Row],[LINKING_CODE]],MasterTable[Funding Source],"GoU Funded")/10^9</f>
        <v>1.6</v>
      </c>
      <c r="S107" s="108">
        <f>SUMIFS(MasterTable[Arrears + All Contractual Commitments (value next FY)],MasterTable[[Project Code and Name ]],PAProjects5[[#This Row],[LINKING_CODE]],MasterTable[Funding Source],"External Financing")/10^9</f>
        <v>0</v>
      </c>
      <c r="T107" s="29">
        <f>PAProjects[[#This Row],[GOU 21/22]]+PAProjects[[#This Row],[DONOR 21/22]]</f>
        <v>1.6</v>
      </c>
      <c r="U107" s="107">
        <f>SUMIFS(MasterTable[FY1 (FY22-23)],MasterTable[[Project Code and Name ]],PAProjects5[[#This Row],[LINKING_CODE]],MasterTable[Funding Source],"GoU Funded")/10^9</f>
        <v>1.2</v>
      </c>
      <c r="V107" s="52">
        <f>SUMIFS(MasterTable[FY1 (FY22-23)],MasterTable[[Project Code and Name ]],PAProjects5[[#This Row],[LINKING_CODE]],MasterTable[Funding Source],"External Financing")/10^9</f>
        <v>0</v>
      </c>
      <c r="W107" s="29">
        <f>PAProjects[[#This Row],[GOU 22/23]]+PAProjects[[#This Row],[DONOR 22/23]]</f>
        <v>1.2</v>
      </c>
      <c r="X107" s="52">
        <f>SUMIFS(MasterTable[FY2 (FY23-24)],MasterTable[[Project Code and Name ]],PAProjects5[[#This Row],[LINKING_CODE]],MasterTable[Funding Source],"GoU Funded")/10^9</f>
        <v>1.6</v>
      </c>
      <c r="Y107" s="52">
        <f>SUMIFS(MasterTable[FY2 (FY23-24)],MasterTable[[Project Code and Name ]],PAProjects5[[#This Row],[LINKING_CODE]],MasterTable[Funding Source],"External Financing")/10^9</f>
        <v>0</v>
      </c>
      <c r="Z107" s="29">
        <f>X107+Y107</f>
        <v>1.6</v>
      </c>
      <c r="AA107" s="52">
        <f>SUMIFS(MasterTable[FY3 (FY24-25)],MasterTable[[Project Code and Name ]],PAProjects5[[#This Row],[LINKING_CODE]],MasterTable[Funding Source],"GoU Funded")/10^9</f>
        <v>1</v>
      </c>
      <c r="AB107" s="52">
        <f>SUMIFS(MasterTable[FY3 (FY24-25)],MasterTable[[Project Code and Name ]],PAProjects5[[#This Row],[LINKING_CODE]],MasterTable[Funding Source],"External Financing")/10^9</f>
        <v>0</v>
      </c>
      <c r="AC107" s="29">
        <f>PAProjects[[#This Row],[GOU 24/25]]+PAProjects[[#This Row],[DONOR 24/25]]</f>
        <v>1</v>
      </c>
    </row>
    <row r="108" spans="1:29" ht="15" hidden="1" customHeight="1" x14ac:dyDescent="0.25">
      <c r="A108" s="21" t="s">
        <v>265</v>
      </c>
      <c r="B108" s="2" t="s">
        <v>367</v>
      </c>
      <c r="C108" s="2" t="e">
        <f ca="1">PAProjects5[[#This Row],[LINKING_CODE]]=_xlfn.CONCAT(PAProjects5[[#This Row],[Project Code]]," ",PAProjects5[[#This Row],[Project Name]])</f>
        <v>#NAME?</v>
      </c>
      <c r="D108" s="2" t="str">
        <f>VLOOKUP(PAProjects5[[#This Row],[LINKING_CODE]],MasterTable[[Project Code and Name ]],1,FALSE)</f>
        <v xml:space="preserve">1609 Retooling of Ministry of Tourism, Wildlife and Antiquitties </v>
      </c>
      <c r="E108" s="2" t="s">
        <v>538</v>
      </c>
      <c r="F108" s="2" t="s">
        <v>1229</v>
      </c>
      <c r="G108" s="2" t="s">
        <v>71</v>
      </c>
      <c r="H108" s="2" t="s">
        <v>1113</v>
      </c>
      <c r="I108" s="2" t="s">
        <v>1230</v>
      </c>
      <c r="J108" s="2" t="s">
        <v>872</v>
      </c>
      <c r="K108" s="2" t="str">
        <f t="shared" si="7"/>
        <v>Retooling</v>
      </c>
      <c r="L108" s="26">
        <v>44013</v>
      </c>
      <c r="M108" s="23">
        <v>45838</v>
      </c>
      <c r="N108" s="24">
        <v>23.25</v>
      </c>
      <c r="O108" s="20"/>
      <c r="P108" s="20">
        <f t="shared" si="4"/>
        <v>23.25</v>
      </c>
      <c r="Q108" s="53">
        <f>SUMIFS(MasterTable[Estimate of Arrears at end of the current FY 2020/21 (value)],MasterTable[[Project Code and Name ]],PAProjects5[[#This Row],[LINKING_CODE]],MasterTable[Funding Source],"GoU Funded")/10^9</f>
        <v>0.5</v>
      </c>
      <c r="R108" s="108">
        <f>SUMIFS(MasterTable[Arrears + All Contractual Commitments (value next FY)],MasterTable[[Project Code and Name ]],PAProjects5[[#This Row],[LINKING_CODE]],MasterTable[Funding Source],"GoU Funded")/10^9</f>
        <v>8.6320309999999996</v>
      </c>
      <c r="S108" s="108">
        <f>SUMIFS(MasterTable[Arrears + All Contractual Commitments (value next FY)],MasterTable[[Project Code and Name ]],PAProjects5[[#This Row],[LINKING_CODE]],MasterTable[Funding Source],"External Financing")/10^9</f>
        <v>0</v>
      </c>
      <c r="T108" s="29">
        <f>PAProjects[[#This Row],[GOU 21/22]]+PAProjects[[#This Row],[DONOR 21/22]]</f>
        <v>8.6320309999999996</v>
      </c>
      <c r="U108" s="107">
        <f>SUMIFS(MasterTable[FY1 (FY22-23)],MasterTable[[Project Code and Name ]],PAProjects5[[#This Row],[LINKING_CODE]],MasterTable[Funding Source],"GoU Funded")/10^9</f>
        <v>5.24</v>
      </c>
      <c r="V108" s="52">
        <f>SUMIFS(MasterTable[FY1 (FY22-23)],MasterTable[[Project Code and Name ]],PAProjects5[[#This Row],[LINKING_CODE]],MasterTable[Funding Source],"External Financing")/10^9</f>
        <v>0</v>
      </c>
      <c r="W108" s="29">
        <f>PAProjects[[#This Row],[GOU 22/23]]+PAProjects[[#This Row],[DONOR 22/23]]</f>
        <v>5.24</v>
      </c>
      <c r="X108" s="52">
        <f>SUMIFS(MasterTable[FY2 (FY23-24)],MasterTable[[Project Code and Name ]],PAProjects5[[#This Row],[LINKING_CODE]],MasterTable[Funding Source],"GoU Funded")/10^9</f>
        <v>4.3600000000000003</v>
      </c>
      <c r="Y108" s="52">
        <f>SUMIFS(MasterTable[FY2 (FY23-24)],MasterTable[[Project Code and Name ]],PAProjects5[[#This Row],[LINKING_CODE]],MasterTable[Funding Source],"External Financing")/10^9</f>
        <v>0</v>
      </c>
      <c r="Z108" s="29">
        <f>SUM(X108:Y108)</f>
        <v>4.3600000000000003</v>
      </c>
      <c r="AA108" s="52">
        <f>SUMIFS(MasterTable[FY3 (FY24-25)],MasterTable[[Project Code and Name ]],PAProjects5[[#This Row],[LINKING_CODE]],MasterTable[Funding Source],"GoU Funded")/10^9</f>
        <v>3.9</v>
      </c>
      <c r="AB108" s="52">
        <f>SUMIFS(MasterTable[FY3 (FY24-25)],MasterTable[[Project Code and Name ]],PAProjects5[[#This Row],[LINKING_CODE]],MasterTable[Funding Source],"External Financing")/10^9</f>
        <v>0</v>
      </c>
      <c r="AC108" s="29">
        <f>PAProjects[[#This Row],[GOU 24/25]]+PAProjects[[#This Row],[DONOR 24/25]]</f>
        <v>3.9</v>
      </c>
    </row>
    <row r="109" spans="1:29" ht="15" hidden="1" customHeight="1" x14ac:dyDescent="0.25">
      <c r="A109" s="21" t="s">
        <v>146</v>
      </c>
      <c r="B109" s="2" t="s">
        <v>58</v>
      </c>
      <c r="C109" s="2" t="e">
        <f ca="1">PAProjects5[[#This Row],[LINKING_CODE]]=_xlfn.CONCAT(PAProjects5[[#This Row],[Project Code]]," ",PAProjects5[[#This Row],[Project Name]])</f>
        <v>#NAME?</v>
      </c>
      <c r="D109" s="2" t="str">
        <f>VLOOKUP(PAProjects5[[#This Row],[LINKING_CODE]],MasterTable[[Project Code and Name ]],1,FALSE)</f>
        <v>1610 Liquefied Petroleum Gas (LPG) Supply and Infrastructure Intervention</v>
      </c>
      <c r="E109" s="2" t="s">
        <v>513</v>
      </c>
      <c r="F109" s="2" t="s">
        <v>1089</v>
      </c>
      <c r="G109" s="2" t="s">
        <v>66</v>
      </c>
      <c r="H109" s="2" t="s">
        <v>1095</v>
      </c>
      <c r="I109" s="2" t="s">
        <v>1102</v>
      </c>
      <c r="J109" s="2" t="s">
        <v>582</v>
      </c>
      <c r="K109" s="2" t="s">
        <v>1509</v>
      </c>
      <c r="L109" s="23">
        <v>44013</v>
      </c>
      <c r="M109" s="23">
        <v>45838</v>
      </c>
      <c r="N109" s="30">
        <v>970</v>
      </c>
      <c r="O109" s="20"/>
      <c r="P109" s="20">
        <f t="shared" si="4"/>
        <v>970</v>
      </c>
      <c r="Q109" s="53">
        <f>SUMIFS(MasterTable[Estimate of Arrears at end of the current FY 2020/21 (value)],MasterTable[[Project Code and Name ]],PAProjects5[[#This Row],[LINKING_CODE]],MasterTable[Funding Source],"GoU Funded")/10^9</f>
        <v>0</v>
      </c>
      <c r="R109" s="108">
        <f>SUMIFS(MasterTable[Arrears + All Contractual Commitments (value next FY)],MasterTable[[Project Code and Name ]],PAProjects5[[#This Row],[LINKING_CODE]],MasterTable[Funding Source],"GoU Funded")/10^9</f>
        <v>20.51</v>
      </c>
      <c r="S109" s="108">
        <f>SUMIFS(MasterTable[Arrears + All Contractual Commitments (value next FY)],MasterTable[[Project Code and Name ]],PAProjects5[[#This Row],[LINKING_CODE]],MasterTable[Funding Source],"External Financing")/10^9</f>
        <v>0</v>
      </c>
      <c r="T109" s="49">
        <f>PAProjects[[#This Row],[GOU 21/22]]+PAProjects[[#This Row],[DONOR 21/22]]</f>
        <v>20.51</v>
      </c>
      <c r="U109" s="107">
        <f>SUMIFS(MasterTable[FY1 (FY22-23)],MasterTable[[Project Code and Name ]],PAProjects5[[#This Row],[LINKING_CODE]],MasterTable[Funding Source],"GoU Funded")/10^9</f>
        <v>180</v>
      </c>
      <c r="V109" s="52">
        <f>SUMIFS(MasterTable[FY1 (FY22-23)],MasterTable[[Project Code and Name ]],PAProjects5[[#This Row],[LINKING_CODE]],MasterTable[Funding Source],"External Financing")/10^9</f>
        <v>0</v>
      </c>
      <c r="W109" s="49">
        <f>PAProjects[[#This Row],[GOU 22/23]]+PAProjects[[#This Row],[DONOR 22/23]]</f>
        <v>180</v>
      </c>
      <c r="X109" s="52">
        <f>SUMIFS(MasterTable[FY2 (FY23-24)],MasterTable[[Project Code and Name ]],PAProjects5[[#This Row],[LINKING_CODE]],MasterTable[Funding Source],"GoU Funded")/10^9</f>
        <v>180</v>
      </c>
      <c r="Y109" s="52">
        <f>SUMIFS(MasterTable[FY2 (FY23-24)],MasterTable[[Project Code and Name ]],PAProjects5[[#This Row],[LINKING_CODE]],MasterTable[Funding Source],"External Financing")/10^9</f>
        <v>0</v>
      </c>
      <c r="Z109" s="2">
        <f>X109+Y109</f>
        <v>180</v>
      </c>
      <c r="AA109" s="52">
        <f>SUMIFS(MasterTable[FY3 (FY24-25)],MasterTable[[Project Code and Name ]],PAProjects5[[#This Row],[LINKING_CODE]],MasterTable[Funding Source],"GoU Funded")/10^9</f>
        <v>200</v>
      </c>
      <c r="AB109" s="52">
        <f>SUMIFS(MasterTable[FY3 (FY24-25)],MasterTable[[Project Code and Name ]],PAProjects5[[#This Row],[LINKING_CODE]],MasterTable[Funding Source],"External Financing")/10^9</f>
        <v>0</v>
      </c>
      <c r="AC109" s="29">
        <f>PAProjects[[#This Row],[GOU 24/25]]+PAProjects[[#This Row],[DONOR 24/25]]</f>
        <v>200</v>
      </c>
    </row>
    <row r="110" spans="1:29" ht="15" hidden="1" customHeight="1" x14ac:dyDescent="0.25">
      <c r="A110" s="21" t="s">
        <v>147</v>
      </c>
      <c r="B110" s="2" t="s">
        <v>60</v>
      </c>
      <c r="C110" s="2" t="e">
        <f ca="1">PAProjects5[[#This Row],[LINKING_CODE]]=_xlfn.CONCAT(PAProjects5[[#This Row],[Project Code]]," ",PAProjects5[[#This Row],[Project Name]])</f>
        <v>#NAME?</v>
      </c>
      <c r="D110" s="2" t="str">
        <f>VLOOKUP(PAProjects5[[#This Row],[LINKING_CODE]],MasterTable[[Project Code and Name ]],1,FALSE)</f>
        <v>1611 Petroleum Exploration and Promotion Frontier Basins</v>
      </c>
      <c r="E110" s="2" t="s">
        <v>513</v>
      </c>
      <c r="F110" s="2" t="s">
        <v>1089</v>
      </c>
      <c r="G110" s="2" t="s">
        <v>66</v>
      </c>
      <c r="H110" s="2" t="s">
        <v>1095</v>
      </c>
      <c r="I110" s="2" t="s">
        <v>1103</v>
      </c>
      <c r="J110" s="2" t="s">
        <v>1104</v>
      </c>
      <c r="K110" s="2" t="s">
        <v>1509</v>
      </c>
      <c r="L110" s="23">
        <v>44013</v>
      </c>
      <c r="M110" s="23">
        <v>45838</v>
      </c>
      <c r="N110" s="30">
        <v>101.2</v>
      </c>
      <c r="O110" s="20"/>
      <c r="P110" s="20">
        <f t="shared" si="4"/>
        <v>101.2</v>
      </c>
      <c r="Q110" s="53">
        <f>SUMIFS(MasterTable[Estimate of Arrears at end of the current FY 2020/21 (value)],MasterTable[[Project Code and Name ]],PAProjects5[[#This Row],[LINKING_CODE]],MasterTable[Funding Source],"GoU Funded")/10^9</f>
        <v>0</v>
      </c>
      <c r="R110" s="108">
        <f>SUMIFS(MasterTable[Arrears + All Contractual Commitments (value next FY)],MasterTable[[Project Code and Name ]],PAProjects5[[#This Row],[LINKING_CODE]],MasterTable[Funding Source],"GoU Funded")/10^9</f>
        <v>5</v>
      </c>
      <c r="S110" s="108">
        <f>SUMIFS(MasterTable[Arrears + All Contractual Commitments (value next FY)],MasterTable[[Project Code and Name ]],PAProjects5[[#This Row],[LINKING_CODE]],MasterTable[Funding Source],"External Financing")/10^9</f>
        <v>0</v>
      </c>
      <c r="T110" s="49">
        <f>PAProjects[[#This Row],[GOU 21/22]]+PAProjects[[#This Row],[DONOR 21/22]]</f>
        <v>5</v>
      </c>
      <c r="U110" s="107">
        <f>SUMIFS(MasterTable[FY1 (FY22-23)],MasterTable[[Project Code and Name ]],PAProjects5[[#This Row],[LINKING_CODE]],MasterTable[Funding Source],"GoU Funded")/10^9</f>
        <v>35</v>
      </c>
      <c r="V110" s="52">
        <f>SUMIFS(MasterTable[FY1 (FY22-23)],MasterTable[[Project Code and Name ]],PAProjects5[[#This Row],[LINKING_CODE]],MasterTable[Funding Source],"External Financing")/10^9</f>
        <v>0</v>
      </c>
      <c r="W110" s="49">
        <f>PAProjects[[#This Row],[GOU 22/23]]+PAProjects[[#This Row],[DONOR 22/23]]</f>
        <v>35</v>
      </c>
      <c r="X110" s="52">
        <f>SUMIFS(MasterTable[FY2 (FY23-24)],MasterTable[[Project Code and Name ]],PAProjects5[[#This Row],[LINKING_CODE]],MasterTable[Funding Source],"GoU Funded")/10^9</f>
        <v>35</v>
      </c>
      <c r="Y110" s="52">
        <f>SUMIFS(MasterTable[FY2 (FY23-24)],MasterTable[[Project Code and Name ]],PAProjects5[[#This Row],[LINKING_CODE]],MasterTable[Funding Source],"External Financing")/10^9</f>
        <v>0</v>
      </c>
      <c r="Z110" s="2">
        <f>X110+Y110</f>
        <v>35</v>
      </c>
      <c r="AA110" s="52">
        <f>SUMIFS(MasterTable[FY3 (FY24-25)],MasterTable[[Project Code and Name ]],PAProjects5[[#This Row],[LINKING_CODE]],MasterTable[Funding Source],"GoU Funded")/10^9</f>
        <v>21</v>
      </c>
      <c r="AB110" s="52">
        <f>SUMIFS(MasterTable[FY3 (FY24-25)],MasterTable[[Project Code and Name ]],PAProjects5[[#This Row],[LINKING_CODE]],MasterTable[Funding Source],"External Financing")/10^9</f>
        <v>0</v>
      </c>
      <c r="AC110" s="29">
        <f>PAProjects[[#This Row],[GOU 24/25]]+PAProjects[[#This Row],[DONOR 24/25]]</f>
        <v>21</v>
      </c>
    </row>
    <row r="111" spans="1:29" ht="15" hidden="1" customHeight="1" x14ac:dyDescent="0.25">
      <c r="A111" s="21" t="s">
        <v>162</v>
      </c>
      <c r="B111" s="2" t="s">
        <v>443</v>
      </c>
      <c r="C111" s="2" t="e">
        <f ca="1">PAProjects5[[#This Row],[LINKING_CODE]]=_xlfn.CONCAT(PAProjects5[[#This Row],[Project Code]]," ",PAProjects5[[#This Row],[Project Name]])</f>
        <v>#NAME?</v>
      </c>
      <c r="D111" s="2" t="str">
        <f>VLOOKUP(PAProjects5[[#This Row],[LINKING_CODE]],MasterTable[[Project Code and Name ]],1,FALSE)</f>
        <v>1617 Retooling of Ministry of Works and Transport</v>
      </c>
      <c r="E111" s="2" t="s">
        <v>515</v>
      </c>
      <c r="F111" s="2" t="s">
        <v>944</v>
      </c>
      <c r="G111" s="2" t="s">
        <v>99</v>
      </c>
      <c r="H111" s="2" t="s">
        <v>1113</v>
      </c>
      <c r="I111" s="2" t="s">
        <v>1120</v>
      </c>
      <c r="J111" s="2" t="s">
        <v>647</v>
      </c>
      <c r="K111" s="2" t="str">
        <f t="shared" si="7"/>
        <v>Retooling</v>
      </c>
      <c r="L111" s="23">
        <v>44013</v>
      </c>
      <c r="M111" s="23">
        <v>45838</v>
      </c>
      <c r="N111" s="24">
        <v>105</v>
      </c>
      <c r="O111" s="25">
        <v>0</v>
      </c>
      <c r="P111" s="20">
        <f t="shared" si="4"/>
        <v>105</v>
      </c>
      <c r="Q111" s="53">
        <f>SUMIFS(MasterTable[Estimate of Arrears at end of the current FY 2020/21 (value)],MasterTable[[Project Code and Name ]],PAProjects5[[#This Row],[LINKING_CODE]],MasterTable[Funding Source],"GoU Funded")/10^9</f>
        <v>0</v>
      </c>
      <c r="R111" s="108">
        <f>SUMIFS(MasterTable[Arrears + All Contractual Commitments (value next FY)],MasterTable[[Project Code and Name ]],PAProjects5[[#This Row],[LINKING_CODE]],MasterTable[Funding Source],"GoU Funded")/10^9</f>
        <v>6.56</v>
      </c>
      <c r="S111" s="108">
        <f>SUMIFS(MasterTable[Arrears + All Contractual Commitments (value next FY)],MasterTable[[Project Code and Name ]],PAProjects5[[#This Row],[LINKING_CODE]],MasterTable[Funding Source],"External Financing")/10^9</f>
        <v>0</v>
      </c>
      <c r="T111" s="29">
        <f>PAProjects[[#This Row],[GOU 21/22]]+PAProjects[[#This Row],[DONOR 21/22]]</f>
        <v>6.56</v>
      </c>
      <c r="U111" s="107">
        <f>SUMIFS(MasterTable[FY1 (FY22-23)],MasterTable[[Project Code and Name ]],PAProjects5[[#This Row],[LINKING_CODE]],MasterTable[Funding Source],"GoU Funded")/10^9</f>
        <v>40</v>
      </c>
      <c r="V111" s="52">
        <f>SUMIFS(MasterTable[FY1 (FY22-23)],MasterTable[[Project Code and Name ]],PAProjects5[[#This Row],[LINKING_CODE]],MasterTable[Funding Source],"External Financing")/10^9</f>
        <v>0</v>
      </c>
      <c r="W111" s="29">
        <f>PAProjects[[#This Row],[GOU 22/23]]+PAProjects[[#This Row],[DONOR 22/23]]</f>
        <v>40</v>
      </c>
      <c r="X111" s="52">
        <f>SUMIFS(MasterTable[FY2 (FY23-24)],MasterTable[[Project Code and Name ]],PAProjects5[[#This Row],[LINKING_CODE]],MasterTable[Funding Source],"GoU Funded")/10^9</f>
        <v>38</v>
      </c>
      <c r="Y111" s="52">
        <f>SUMIFS(MasterTable[FY2 (FY23-24)],MasterTable[[Project Code and Name ]],PAProjects5[[#This Row],[LINKING_CODE]],MasterTable[Funding Source],"External Financing")/10^9</f>
        <v>0</v>
      </c>
      <c r="Z111" s="29">
        <f>X111+Y111</f>
        <v>38</v>
      </c>
      <c r="AA111" s="52">
        <f>SUMIFS(MasterTable[FY3 (FY24-25)],MasterTable[[Project Code and Name ]],PAProjects5[[#This Row],[LINKING_CODE]],MasterTable[Funding Source],"GoU Funded")/10^9</f>
        <v>14.25</v>
      </c>
      <c r="AB111" s="52">
        <f>SUMIFS(MasterTable[FY3 (FY24-25)],MasterTable[[Project Code and Name ]],PAProjects5[[#This Row],[LINKING_CODE]],MasterTable[Funding Source],"External Financing")/10^9</f>
        <v>0</v>
      </c>
      <c r="AC111" s="29">
        <f>PAProjects[[#This Row],[GOU 24/25]]+PAProjects[[#This Row],[DONOR 24/25]]</f>
        <v>14.25</v>
      </c>
    </row>
    <row r="112" spans="1:29" ht="15" hidden="1" customHeight="1" x14ac:dyDescent="0.25">
      <c r="A112" s="21" t="s">
        <v>158</v>
      </c>
      <c r="B112" s="2" t="s">
        <v>352</v>
      </c>
      <c r="C112" s="2" t="e">
        <f ca="1">PAProjects5[[#This Row],[LINKING_CODE]]=_xlfn.CONCAT(PAProjects5[[#This Row],[Project Code]]," ",PAProjects5[[#This Row],[Project Name]])</f>
        <v>#NAME?</v>
      </c>
      <c r="D112" s="2" t="str">
        <f>VLOOKUP(PAProjects5[[#This Row],[LINKING_CODE]],MasterTable[[Project Code and Name ]],1,FALSE)</f>
        <v>1632 Retooling of Ministry of Lands, Housing and Urban Development</v>
      </c>
      <c r="E112" s="2" t="s">
        <v>512</v>
      </c>
      <c r="F112" s="2" t="s">
        <v>1105</v>
      </c>
      <c r="G112" s="2" t="s">
        <v>1106</v>
      </c>
      <c r="H112" s="2" t="s">
        <v>1113</v>
      </c>
      <c r="I112" s="2" t="s">
        <v>1115</v>
      </c>
      <c r="J112" s="2" t="s">
        <v>557</v>
      </c>
      <c r="K112" s="2" t="str">
        <f t="shared" si="7"/>
        <v>Retooling</v>
      </c>
      <c r="L112" s="27">
        <v>44013</v>
      </c>
      <c r="M112" s="27">
        <v>45838</v>
      </c>
      <c r="N112" s="20">
        <v>20</v>
      </c>
      <c r="O112" s="20"/>
      <c r="P112" s="20">
        <f t="shared" si="4"/>
        <v>20</v>
      </c>
      <c r="Q112" s="53">
        <f>SUMIFS(MasterTable[Estimate of Arrears at end of the current FY 2020/21 (value)],MasterTable[[Project Code and Name ]],PAProjects5[[#This Row],[LINKING_CODE]],MasterTable[Funding Source],"GoU Funded")/10^9</f>
        <v>0</v>
      </c>
      <c r="R112" s="108">
        <f>SUMIFS(MasterTable[Arrears + All Contractual Commitments (value next FY)],MasterTable[[Project Code and Name ]],PAProjects5[[#This Row],[LINKING_CODE]],MasterTable[Funding Source],"GoU Funded")/10^9</f>
        <v>2.35</v>
      </c>
      <c r="S112" s="108">
        <f>SUMIFS(MasterTable[Arrears + All Contractual Commitments (value next FY)],MasterTable[[Project Code and Name ]],PAProjects5[[#This Row],[LINKING_CODE]],MasterTable[Funding Source],"External Financing")/10^9</f>
        <v>0</v>
      </c>
      <c r="T112" s="29">
        <f>PAProjects[[#This Row],[GOU 21/22]]+PAProjects[[#This Row],[DONOR 21/22]]</f>
        <v>2.35</v>
      </c>
      <c r="U112" s="107">
        <f>SUMIFS(MasterTable[FY1 (FY22-23)],MasterTable[[Project Code and Name ]],PAProjects5[[#This Row],[LINKING_CODE]],MasterTable[Funding Source],"GoU Funded")/10^9</f>
        <v>4</v>
      </c>
      <c r="V112" s="52">
        <f>SUMIFS(MasterTable[FY1 (FY22-23)],MasterTable[[Project Code and Name ]],PAProjects5[[#This Row],[LINKING_CODE]],MasterTable[Funding Source],"External Financing")/10^9</f>
        <v>0</v>
      </c>
      <c r="W112" s="29">
        <f>PAProjects[[#This Row],[GOU 22/23]]+PAProjects[[#This Row],[DONOR 22/23]]</f>
        <v>4</v>
      </c>
      <c r="X112" s="52">
        <f>SUMIFS(MasterTable[FY2 (FY23-24)],MasterTable[[Project Code and Name ]],PAProjects5[[#This Row],[LINKING_CODE]],MasterTable[Funding Source],"GoU Funded")/10^9</f>
        <v>4</v>
      </c>
      <c r="Y112" s="52">
        <f>SUMIFS(MasterTable[FY2 (FY23-24)],MasterTable[[Project Code and Name ]],PAProjects5[[#This Row],[LINKING_CODE]],MasterTable[Funding Source],"External Financing")/10^9</f>
        <v>0</v>
      </c>
      <c r="Z112" s="29">
        <f>X112+Y112</f>
        <v>4</v>
      </c>
      <c r="AA112" s="52">
        <f>SUMIFS(MasterTable[FY3 (FY24-25)],MasterTable[[Project Code and Name ]],PAProjects5[[#This Row],[LINKING_CODE]],MasterTable[Funding Source],"GoU Funded")/10^9</f>
        <v>4</v>
      </c>
      <c r="AB112" s="52">
        <f>SUMIFS(MasterTable[FY3 (FY24-25)],MasterTable[[Project Code and Name ]],PAProjects5[[#This Row],[LINKING_CODE]],MasterTable[Funding Source],"External Financing")/10^9</f>
        <v>0</v>
      </c>
      <c r="AC112" s="29">
        <f>PAProjects[[#This Row],[GOU 24/25]]+PAProjects[[#This Row],[DONOR 24/25]]</f>
        <v>4</v>
      </c>
    </row>
    <row r="113" spans="1:29" ht="15" hidden="1" customHeight="1" x14ac:dyDescent="0.25">
      <c r="A113" s="21" t="s">
        <v>227</v>
      </c>
      <c r="B113" s="2" t="s">
        <v>491</v>
      </c>
      <c r="C113" s="2" t="e">
        <f ca="1">PAProjects5[[#This Row],[LINKING_CODE]]=_xlfn.CONCAT(PAProjects5[[#This Row],[Project Code]]," ",PAProjects5[[#This Row],[Project Name]])</f>
        <v>#NAME?</v>
      </c>
      <c r="D113" s="2" t="str">
        <f>VLOOKUP(PAProjects5[[#This Row],[LINKING_CODE]],MasterTable[[Project Code and Name ]],1,FALSE)</f>
        <v>1641 Retooling of Ministry of Internal Affairs</v>
      </c>
      <c r="E113" s="2" t="s">
        <v>527</v>
      </c>
      <c r="F113" s="2" t="s">
        <v>929</v>
      </c>
      <c r="G113" s="2" t="s">
        <v>1184</v>
      </c>
      <c r="H113" s="2" t="s">
        <v>1113</v>
      </c>
      <c r="I113" s="2" t="s">
        <v>1185</v>
      </c>
      <c r="J113" s="2" t="s">
        <v>831</v>
      </c>
      <c r="K113" s="2" t="str">
        <f t="shared" si="7"/>
        <v>Retooling</v>
      </c>
      <c r="L113" s="23">
        <v>44013</v>
      </c>
      <c r="M113" s="23">
        <v>44742</v>
      </c>
      <c r="N113" s="30">
        <v>43.6</v>
      </c>
      <c r="O113" s="20"/>
      <c r="P113" s="20">
        <f t="shared" si="4"/>
        <v>43.6</v>
      </c>
      <c r="Q113" s="53">
        <f>SUMIFS(MasterTable[Estimate of Arrears at end of the current FY 2020/21 (value)],MasterTable[[Project Code and Name ]],PAProjects5[[#This Row],[LINKING_CODE]],MasterTable[Funding Source],"GoU Funded")/10^9</f>
        <v>0</v>
      </c>
      <c r="R113" s="108">
        <f>SUMIFS(MasterTable[Arrears + All Contractual Commitments (value next FY)],MasterTable[[Project Code and Name ]],PAProjects5[[#This Row],[LINKING_CODE]],MasterTable[Funding Source],"GoU Funded")/10^9</f>
        <v>12.651298282000001</v>
      </c>
      <c r="S113" s="108">
        <f>SUMIFS(MasterTable[Arrears + All Contractual Commitments (value next FY)],MasterTable[[Project Code and Name ]],PAProjects5[[#This Row],[LINKING_CODE]],MasterTable[Funding Source],"External Financing")/10^9</f>
        <v>0</v>
      </c>
      <c r="T113" s="29">
        <f>PAProjects[[#This Row],[GOU 21/22]]+PAProjects[[#This Row],[DONOR 21/22]]</f>
        <v>12.651298282000001</v>
      </c>
      <c r="U113" s="107">
        <f>SUMIFS(MasterTable[FY1 (FY22-23)],MasterTable[[Project Code and Name ]],PAProjects5[[#This Row],[LINKING_CODE]],MasterTable[Funding Source],"GoU Funded")/10^9</f>
        <v>8.9</v>
      </c>
      <c r="V113" s="52">
        <f>SUMIFS(MasterTable[FY1 (FY22-23)],MasterTable[[Project Code and Name ]],PAProjects5[[#This Row],[LINKING_CODE]],MasterTable[Funding Source],"External Financing")/10^9</f>
        <v>0</v>
      </c>
      <c r="W113" s="29">
        <f>PAProjects[[#This Row],[GOU 22/23]]+PAProjects[[#This Row],[DONOR 22/23]]</f>
        <v>8.9</v>
      </c>
      <c r="X113" s="52">
        <f>SUMIFS(MasterTable[FY2 (FY23-24)],MasterTable[[Project Code and Name ]],PAProjects5[[#This Row],[LINKING_CODE]],MasterTable[Funding Source],"GoU Funded")/10^9</f>
        <v>8.4</v>
      </c>
      <c r="Y113" s="52">
        <f>SUMIFS(MasterTable[FY2 (FY23-24)],MasterTable[[Project Code and Name ]],PAProjects5[[#This Row],[LINKING_CODE]],MasterTable[Funding Source],"External Financing")/10^9</f>
        <v>0</v>
      </c>
      <c r="Z113" s="29">
        <f>SUM(X113:Y113)</f>
        <v>8.4</v>
      </c>
      <c r="AA113" s="52">
        <f>SUMIFS(MasterTable[FY3 (FY24-25)],MasterTable[[Project Code and Name ]],PAProjects5[[#This Row],[LINKING_CODE]],MasterTable[Funding Source],"GoU Funded")/10^9</f>
        <v>7.9</v>
      </c>
      <c r="AB113" s="52">
        <f>SUMIFS(MasterTable[FY3 (FY24-25)],MasterTable[[Project Code and Name ]],PAProjects5[[#This Row],[LINKING_CODE]],MasterTable[Funding Source],"External Financing")/10^9</f>
        <v>0</v>
      </c>
      <c r="AC113" s="29">
        <f>PAProjects[[#This Row],[GOU 24/25]]+PAProjects[[#This Row],[DONOR 24/25]]</f>
        <v>7.9</v>
      </c>
    </row>
    <row r="114" spans="1:29" ht="15" hidden="1" customHeight="1" x14ac:dyDescent="0.25">
      <c r="A114" s="21" t="s">
        <v>226</v>
      </c>
      <c r="B114" s="2" t="s">
        <v>346</v>
      </c>
      <c r="C114" s="2" t="e">
        <f ca="1">PAProjects5[[#This Row],[LINKING_CODE]]=_xlfn.CONCAT(PAProjects5[[#This Row],[Project Code]]," ",PAProjects5[[#This Row],[Project Name]])</f>
        <v>#NAME?</v>
      </c>
      <c r="D114" s="2" t="str">
        <f>VLOOKUP(PAProjects5[[#This Row],[LINKING_CODE]],MasterTable[[Project Code and Name ]],1,FALSE)</f>
        <v>1647 Retooling of Ministry of Justice and Constitutional Affairs</v>
      </c>
      <c r="E114" s="2" t="s">
        <v>527</v>
      </c>
      <c r="F114" s="2" t="s">
        <v>929</v>
      </c>
      <c r="G114" s="2" t="s">
        <v>957</v>
      </c>
      <c r="H114" s="2" t="s">
        <v>1113</v>
      </c>
      <c r="I114" s="2" t="s">
        <v>1183</v>
      </c>
      <c r="J114" s="2" t="s">
        <v>836</v>
      </c>
      <c r="K114" s="2" t="str">
        <f t="shared" si="7"/>
        <v>Retooling</v>
      </c>
      <c r="L114" s="23">
        <v>44013</v>
      </c>
      <c r="M114" s="23">
        <v>44742</v>
      </c>
      <c r="N114" s="30">
        <v>72.36</v>
      </c>
      <c r="O114" s="20"/>
      <c r="P114" s="20">
        <f t="shared" si="4"/>
        <v>72.36</v>
      </c>
      <c r="Q114" s="53">
        <f>SUMIFS(MasterTable[Estimate of Arrears at end of the current FY 2020/21 (value)],MasterTable[[Project Code and Name ]],PAProjects5[[#This Row],[LINKING_CODE]],MasterTable[Funding Source],"GoU Funded")/10^9</f>
        <v>0</v>
      </c>
      <c r="R114" s="108">
        <f>SUMIFS(MasterTable[Arrears + All Contractual Commitments (value next FY)],MasterTable[[Project Code and Name ]],PAProjects5[[#This Row],[LINKING_CODE]],MasterTable[Funding Source],"GoU Funded")/10^9</f>
        <v>16.975999999999999</v>
      </c>
      <c r="S114" s="108">
        <f>SUMIFS(MasterTable[Arrears + All Contractual Commitments (value next FY)],MasterTable[[Project Code and Name ]],PAProjects5[[#This Row],[LINKING_CODE]],MasterTable[Funding Source],"External Financing")/10^9</f>
        <v>0</v>
      </c>
      <c r="T114" s="29">
        <f>PAProjects[[#This Row],[GOU 21/22]]+PAProjects[[#This Row],[DONOR 21/22]]</f>
        <v>16.975999999999999</v>
      </c>
      <c r="U114" s="107">
        <f>SUMIFS(MasterTable[FY1 (FY22-23)],MasterTable[[Project Code and Name ]],PAProjects5[[#This Row],[LINKING_CODE]],MasterTable[Funding Source],"GoU Funded")/10^9</f>
        <v>9.2880000000000003</v>
      </c>
      <c r="V114" s="52">
        <f>SUMIFS(MasterTable[FY1 (FY22-23)],MasterTable[[Project Code and Name ]],PAProjects5[[#This Row],[LINKING_CODE]],MasterTable[Funding Source],"External Financing")/10^9</f>
        <v>0</v>
      </c>
      <c r="W114" s="29">
        <f>PAProjects[[#This Row],[GOU 22/23]]+PAProjects[[#This Row],[DONOR 22/23]]</f>
        <v>9.2880000000000003</v>
      </c>
      <c r="X114" s="52">
        <f>SUMIFS(MasterTable[FY2 (FY23-24)],MasterTable[[Project Code and Name ]],PAProjects5[[#This Row],[LINKING_CODE]],MasterTable[Funding Source],"GoU Funded")/10^9</f>
        <v>9.4169999999999998</v>
      </c>
      <c r="Y114" s="52">
        <f>SUMIFS(MasterTable[FY2 (FY23-24)],MasterTable[[Project Code and Name ]],PAProjects5[[#This Row],[LINKING_CODE]],MasterTable[Funding Source],"External Financing")/10^9</f>
        <v>0</v>
      </c>
      <c r="Z114" s="29">
        <f>SUM(X114:Y114)</f>
        <v>9.4169999999999998</v>
      </c>
      <c r="AA114" s="52">
        <f>SUMIFS(MasterTable[FY3 (FY24-25)],MasterTable[[Project Code and Name ]],PAProjects5[[#This Row],[LINKING_CODE]],MasterTable[Funding Source],"GoU Funded")/10^9</f>
        <v>7.0549999999999997</v>
      </c>
      <c r="AB114" s="52">
        <f>SUMIFS(MasterTable[FY3 (FY24-25)],MasterTable[[Project Code and Name ]],PAProjects5[[#This Row],[LINKING_CODE]],MasterTable[Funding Source],"External Financing")/10^9</f>
        <v>0</v>
      </c>
      <c r="AC114" s="29">
        <f>PAProjects[[#This Row],[GOU 24/25]]+PAProjects[[#This Row],[DONOR 24/25]]</f>
        <v>7.0549999999999997</v>
      </c>
    </row>
    <row r="115" spans="1:29" ht="15" hidden="1" customHeight="1" x14ac:dyDescent="0.25">
      <c r="A115" s="21" t="s">
        <v>178</v>
      </c>
      <c r="B115" s="2" t="s">
        <v>374</v>
      </c>
      <c r="C115" s="2" t="e">
        <f ca="1">PAProjects5[[#This Row],[LINKING_CODE]]=_xlfn.CONCAT(PAProjects5[[#This Row],[Project Code]]," ",PAProjects5[[#This Row],[Project Name]])</f>
        <v>#NAME?</v>
      </c>
      <c r="D115" s="2" t="str">
        <f>VLOOKUP(PAProjects5[[#This Row],[LINKING_CODE]],MasterTable[[Project Code and Name ]],1,FALSE)</f>
        <v>1650 Retooling of Mbarara University of Science and Technology</v>
      </c>
      <c r="E115" s="2" t="s">
        <v>519</v>
      </c>
      <c r="F115" s="2" t="s">
        <v>960</v>
      </c>
      <c r="G115" s="2" t="s">
        <v>137</v>
      </c>
      <c r="H115" s="2" t="s">
        <v>1113</v>
      </c>
      <c r="I115" s="2" t="s">
        <v>1134</v>
      </c>
      <c r="J115" s="2" t="s">
        <v>692</v>
      </c>
      <c r="K115" s="2" t="str">
        <f t="shared" si="7"/>
        <v>Retooling</v>
      </c>
      <c r="L115" s="23">
        <v>44013</v>
      </c>
      <c r="M115" s="23">
        <v>45838</v>
      </c>
      <c r="N115" s="20">
        <v>7.4950000000000001</v>
      </c>
      <c r="O115" s="20"/>
      <c r="P115" s="20">
        <f t="shared" si="4"/>
        <v>7.4950000000000001</v>
      </c>
      <c r="Q115" s="53">
        <f>SUMIFS(MasterTable[Estimate of Arrears at end of the current FY 2020/21 (value)],MasterTable[[Project Code and Name ]],PAProjects5[[#This Row],[LINKING_CODE]],MasterTable[Funding Source],"GoU Funded")/10^9</f>
        <v>0</v>
      </c>
      <c r="R115" s="108">
        <f>SUMIFS(MasterTable[Arrears + All Contractual Commitments (value next FY)],MasterTable[[Project Code and Name ]],PAProjects5[[#This Row],[LINKING_CODE]],MasterTable[Funding Source],"GoU Funded")/10^9</f>
        <v>1.8785400000000001</v>
      </c>
      <c r="S115" s="108">
        <f>SUMIFS(MasterTable[Arrears + All Contractual Commitments (value next FY)],MasterTable[[Project Code and Name ]],PAProjects5[[#This Row],[LINKING_CODE]],MasterTable[Funding Source],"External Financing")/10^9</f>
        <v>0</v>
      </c>
      <c r="T115" s="29">
        <f>PAProjects[[#This Row],[GOU 21/22]]+PAProjects[[#This Row],[DONOR 21/22]]</f>
        <v>1.8785400000000001</v>
      </c>
      <c r="U115" s="107">
        <f>SUMIFS(MasterTable[FY1 (FY22-23)],MasterTable[[Project Code and Name ]],PAProjects5[[#This Row],[LINKING_CODE]],MasterTable[Funding Source],"GoU Funded")/10^9</f>
        <v>1.631121</v>
      </c>
      <c r="V115" s="52">
        <f>SUMIFS(MasterTable[FY1 (FY22-23)],MasterTable[[Project Code and Name ]],PAProjects5[[#This Row],[LINKING_CODE]],MasterTable[Funding Source],"External Financing")/10^9</f>
        <v>0</v>
      </c>
      <c r="W115" s="29">
        <f>PAProjects[[#This Row],[GOU 22/23]]+PAProjects[[#This Row],[DONOR 22/23]]</f>
        <v>1.631121</v>
      </c>
      <c r="X115" s="52">
        <f>SUMIFS(MasterTable[FY2 (FY23-24)],MasterTable[[Project Code and Name ]],PAProjects5[[#This Row],[LINKING_CODE]],MasterTable[Funding Source],"GoU Funded")/10^9</f>
        <v>1.6587700000000001</v>
      </c>
      <c r="Y115" s="52">
        <f>SUMIFS(MasterTable[FY2 (FY23-24)],MasterTable[[Project Code and Name ]],PAProjects5[[#This Row],[LINKING_CODE]],MasterTable[Funding Source],"External Financing")/10^9</f>
        <v>0</v>
      </c>
      <c r="Z115" s="29">
        <f>X115+Y115</f>
        <v>1.6587700000000001</v>
      </c>
      <c r="AA115" s="52">
        <f>SUMIFS(MasterTable[FY3 (FY24-25)],MasterTable[[Project Code and Name ]],PAProjects5[[#This Row],[LINKING_CODE]],MasterTable[Funding Source],"GoU Funded")/10^9</f>
        <v>1.6668000000000001</v>
      </c>
      <c r="AB115" s="52">
        <f>SUMIFS(MasterTable[FY3 (FY24-25)],MasterTable[[Project Code and Name ]],PAProjects5[[#This Row],[LINKING_CODE]],MasterTable[Funding Source],"External Financing")/10^9</f>
        <v>0</v>
      </c>
      <c r="AC115" s="29">
        <f>PAProjects[[#This Row],[GOU 24/25]]+PAProjects[[#This Row],[DONOR 24/25]]</f>
        <v>1.6668000000000001</v>
      </c>
    </row>
    <row r="116" spans="1:29" ht="15" hidden="1" customHeight="1" x14ac:dyDescent="0.25">
      <c r="A116" s="21" t="s">
        <v>267</v>
      </c>
      <c r="B116" s="2" t="s">
        <v>487</v>
      </c>
      <c r="C116" s="2" t="e">
        <f ca="1">PAProjects5[[#This Row],[LINKING_CODE]]=_xlfn.CONCAT(PAProjects5[[#This Row],[Project Code]]," ",PAProjects5[[#This Row],[Project Name]])</f>
        <v>#NAME?</v>
      </c>
      <c r="D116" s="2" t="str">
        <f>VLOOKUP(PAProjects5[[#This Row],[LINKING_CODE]],MasterTable[[Project Code and Name ]],1,FALSE)</f>
        <v>1652 Retooling of Ministry of Local Government</v>
      </c>
      <c r="E116" s="2" t="s">
        <v>540</v>
      </c>
      <c r="F116" s="2" t="s">
        <v>931</v>
      </c>
      <c r="G116" s="2" t="s">
        <v>932</v>
      </c>
      <c r="H116" s="2" t="s">
        <v>1113</v>
      </c>
      <c r="I116" s="2" t="s">
        <v>1232</v>
      </c>
      <c r="J116" s="2" t="s">
        <v>878</v>
      </c>
      <c r="K116" s="2" t="str">
        <f t="shared" si="7"/>
        <v>Retooling</v>
      </c>
      <c r="L116" s="26">
        <v>44013</v>
      </c>
      <c r="M116" s="23">
        <v>45838</v>
      </c>
      <c r="N116" s="24">
        <v>125.29</v>
      </c>
      <c r="O116" s="20"/>
      <c r="P116" s="20">
        <f t="shared" si="4"/>
        <v>125.29</v>
      </c>
      <c r="Q116" s="53">
        <f>SUMIFS(MasterTable[Estimate of Arrears at end of the current FY 2020/21 (value)],MasterTable[[Project Code and Name ]],PAProjects5[[#This Row],[LINKING_CODE]],MasterTable[Funding Source],"GoU Funded")/10^9</f>
        <v>0</v>
      </c>
      <c r="R116" s="108">
        <f>SUMIFS(MasterTable[Arrears + All Contractual Commitments (value next FY)],MasterTable[[Project Code and Name ]],PAProjects5[[#This Row],[LINKING_CODE]],MasterTable[Funding Source],"GoU Funded")/10^9</f>
        <v>18.95</v>
      </c>
      <c r="S116" s="108">
        <f>SUMIFS(MasterTable[Arrears + All Contractual Commitments (value next FY)],MasterTable[[Project Code and Name ]],PAProjects5[[#This Row],[LINKING_CODE]],MasterTable[Funding Source],"External Financing")/10^9</f>
        <v>0</v>
      </c>
      <c r="T116" s="29">
        <f>PAProjects[[#This Row],[GOU 21/22]]+PAProjects[[#This Row],[DONOR 21/22]]</f>
        <v>18.95</v>
      </c>
      <c r="U116" s="107">
        <f>SUMIFS(MasterTable[FY1 (FY22-23)],MasterTable[[Project Code and Name ]],PAProjects5[[#This Row],[LINKING_CODE]],MasterTable[Funding Source],"GoU Funded")/10^9</f>
        <v>18.95</v>
      </c>
      <c r="V116" s="52">
        <f>SUMIFS(MasterTable[FY1 (FY22-23)],MasterTable[[Project Code and Name ]],PAProjects5[[#This Row],[LINKING_CODE]],MasterTable[Funding Source],"External Financing")/10^9</f>
        <v>0</v>
      </c>
      <c r="W116" s="29">
        <f>PAProjects[[#This Row],[GOU 22/23]]+PAProjects[[#This Row],[DONOR 22/23]]</f>
        <v>18.95</v>
      </c>
      <c r="X116" s="52">
        <f>SUMIFS(MasterTable[FY2 (FY23-24)],MasterTable[[Project Code and Name ]],PAProjects5[[#This Row],[LINKING_CODE]],MasterTable[Funding Source],"GoU Funded")/10^9</f>
        <v>18.95</v>
      </c>
      <c r="Y116" s="52">
        <f>SUMIFS(MasterTable[FY2 (FY23-24)],MasterTable[[Project Code and Name ]],PAProjects5[[#This Row],[LINKING_CODE]],MasterTable[Funding Source],"External Financing")/10^9</f>
        <v>0</v>
      </c>
      <c r="Z116" s="29">
        <f>SUM(X116:Y116)</f>
        <v>18.95</v>
      </c>
      <c r="AA116" s="52">
        <f>SUMIFS(MasterTable[FY3 (FY24-25)],MasterTable[[Project Code and Name ]],PAProjects5[[#This Row],[LINKING_CODE]],MasterTable[Funding Source],"GoU Funded")/10^9</f>
        <v>18.95</v>
      </c>
      <c r="AB116" s="52">
        <f>SUMIFS(MasterTable[FY3 (FY24-25)],MasterTable[[Project Code and Name ]],PAProjects5[[#This Row],[LINKING_CODE]],MasterTable[Funding Source],"External Financing")/10^9</f>
        <v>0</v>
      </c>
      <c r="AC116" s="29">
        <f>PAProjects[[#This Row],[GOU 24/25]]+PAProjects[[#This Row],[DONOR 24/25]]</f>
        <v>18.95</v>
      </c>
    </row>
    <row r="117" spans="1:29" ht="15" hidden="1" customHeight="1" x14ac:dyDescent="0.25">
      <c r="A117" s="21" t="s">
        <v>286</v>
      </c>
      <c r="B117" s="2" t="s">
        <v>52</v>
      </c>
      <c r="C117" s="2" t="e">
        <f ca="1">PAProjects5[[#This Row],[LINKING_CODE]]=_xlfn.CONCAT(PAProjects5[[#This Row],[Project Code]]," ",PAProjects5[[#This Row],[Project Name]])</f>
        <v>#NAME?</v>
      </c>
      <c r="D117" s="2" t="str">
        <f>VLOOKUP(PAProjects5[[#This Row],[LINKING_CODE]],MasterTable[[Project Code and Name ]],1,FALSE)</f>
        <v>1654 Power Supply to industrial parks and Power  Transmission Line Extension</v>
      </c>
      <c r="E117" s="2" t="s">
        <v>513</v>
      </c>
      <c r="F117" s="2" t="s">
        <v>1089</v>
      </c>
      <c r="G117" s="2" t="s">
        <v>66</v>
      </c>
      <c r="H117" s="2" t="s">
        <v>1251</v>
      </c>
      <c r="I117" s="2" t="s">
        <v>1259</v>
      </c>
      <c r="J117" s="2" t="s">
        <v>587</v>
      </c>
      <c r="K117" s="2" t="s">
        <v>1509</v>
      </c>
      <c r="L117" s="23">
        <v>44013</v>
      </c>
      <c r="M117" s="23">
        <v>45838</v>
      </c>
      <c r="N117" s="20">
        <v>40</v>
      </c>
      <c r="O117" s="20">
        <v>198.8</v>
      </c>
      <c r="P117" s="20">
        <f t="shared" si="4"/>
        <v>238.8</v>
      </c>
      <c r="Q117" s="53">
        <f>SUMIFS(MasterTable[Estimate of Arrears at end of the current FY 2020/21 (value)],MasterTable[[Project Code and Name ]],PAProjects5[[#This Row],[LINKING_CODE]],MasterTable[Funding Source],"GoU Funded")/10^9</f>
        <v>0</v>
      </c>
      <c r="R117" s="108">
        <f>SUMIFS(MasterTable[Arrears + All Contractual Commitments (value next FY)],MasterTable[[Project Code and Name ]],PAProjects5[[#This Row],[LINKING_CODE]],MasterTable[Funding Source],"GoU Funded")/10^9</f>
        <v>37.51</v>
      </c>
      <c r="S117" s="108">
        <f>SUMIFS(MasterTable[Arrears + All Contractual Commitments (value next FY)],MasterTable[[Project Code and Name ]],PAProjects5[[#This Row],[LINKING_CODE]],MasterTable[Funding Source],"External Financing")/10^9</f>
        <v>32.29</v>
      </c>
      <c r="T117" s="49">
        <f>PAProjects[[#This Row],[GOU 21/22]]+PAProjects[[#This Row],[DONOR 21/22]]</f>
        <v>69.8</v>
      </c>
      <c r="U117" s="107">
        <f>SUMIFS(MasterTable[FY1 (FY22-23)],MasterTable[[Project Code and Name ]],PAProjects5[[#This Row],[LINKING_CODE]],MasterTable[Funding Source],"GoU Funded")/10^9</f>
        <v>5</v>
      </c>
      <c r="V117" s="52">
        <f>SUMIFS(MasterTable[FY1 (FY22-23)],MasterTable[[Project Code and Name ]],PAProjects5[[#This Row],[LINKING_CODE]],MasterTable[Funding Source],"External Financing")/10^9</f>
        <v>20</v>
      </c>
      <c r="W117" s="49">
        <f>PAProjects[[#This Row],[GOU 22/23]]+PAProjects[[#This Row],[DONOR 22/23]]</f>
        <v>25</v>
      </c>
      <c r="X117" s="52">
        <f>SUMIFS(MasterTable[FY2 (FY23-24)],MasterTable[[Project Code and Name ]],PAProjects5[[#This Row],[LINKING_CODE]],MasterTable[Funding Source],"GoU Funded")/10^9</f>
        <v>5</v>
      </c>
      <c r="Y117" s="52">
        <f>SUMIFS(MasterTable[FY2 (FY23-24)],MasterTable[[Project Code and Name ]],PAProjects5[[#This Row],[LINKING_CODE]],MasterTable[Funding Source],"External Financing")/10^9</f>
        <v>16.850000000000001</v>
      </c>
      <c r="Z117" s="2">
        <f t="shared" ref="Z117:Z122" si="8">X117+Y117</f>
        <v>21.85</v>
      </c>
      <c r="AA117" s="52">
        <f>SUMIFS(MasterTable[FY3 (FY24-25)],MasterTable[[Project Code and Name ]],PAProjects5[[#This Row],[LINKING_CODE]],MasterTable[Funding Source],"GoU Funded")/10^9</f>
        <v>5</v>
      </c>
      <c r="AB117" s="52">
        <f>SUMIFS(MasterTable[FY3 (FY24-25)],MasterTable[[Project Code and Name ]],PAProjects5[[#This Row],[LINKING_CODE]],MasterTable[Funding Source],"External Financing")/10^9</f>
        <v>6.85</v>
      </c>
      <c r="AC117" s="29">
        <f>PAProjects[[#This Row],[GOU 24/25]]+PAProjects[[#This Row],[DONOR 24/25]]</f>
        <v>11.85</v>
      </c>
    </row>
    <row r="118" spans="1:29" ht="15" hidden="1" customHeight="1" x14ac:dyDescent="0.25">
      <c r="A118" s="21" t="s">
        <v>287</v>
      </c>
      <c r="B118" s="2" t="s">
        <v>53</v>
      </c>
      <c r="C118" s="2" t="e">
        <f ca="1">PAProjects5[[#This Row],[LINKING_CODE]]=_xlfn.CONCAT(PAProjects5[[#This Row],[Project Code]]," ",PAProjects5[[#This Row],[Project Name]])</f>
        <v>#NAME?</v>
      </c>
      <c r="D118" s="2" t="str">
        <f>VLOOKUP(PAProjects5[[#This Row],[LINKING_CODE]],MasterTable[[Project Code and Name ]],1,FALSE)</f>
        <v>1655 Kikagati Nsongezi Transmission Line</v>
      </c>
      <c r="E118" s="2" t="s">
        <v>513</v>
      </c>
      <c r="F118" s="2" t="s">
        <v>1089</v>
      </c>
      <c r="G118" s="2" t="s">
        <v>66</v>
      </c>
      <c r="H118" s="2" t="s">
        <v>1251</v>
      </c>
      <c r="I118" s="2" t="s">
        <v>1260</v>
      </c>
      <c r="J118" s="2" t="s">
        <v>589</v>
      </c>
      <c r="K118" s="2" t="s">
        <v>1509</v>
      </c>
      <c r="L118" s="23">
        <v>44013</v>
      </c>
      <c r="M118" s="23">
        <v>45838</v>
      </c>
      <c r="N118" s="20">
        <v>24.5</v>
      </c>
      <c r="O118" s="20"/>
      <c r="P118" s="20">
        <f t="shared" si="4"/>
        <v>24.5</v>
      </c>
      <c r="Q118" s="53">
        <f>SUMIFS(MasterTable[Estimate of Arrears at end of the current FY 2020/21 (value)],MasterTable[[Project Code and Name ]],PAProjects5[[#This Row],[LINKING_CODE]],MasterTable[Funding Source],"GoU Funded")/10^9</f>
        <v>0</v>
      </c>
      <c r="R118" s="108">
        <f>SUMIFS(MasterTable[Arrears + All Contractual Commitments (value next FY)],MasterTable[[Project Code and Name ]],PAProjects5[[#This Row],[LINKING_CODE]],MasterTable[Funding Source],"GoU Funded")/10^9</f>
        <v>4.6500000000000004</v>
      </c>
      <c r="S118" s="108">
        <f>SUMIFS(MasterTable[Arrears + All Contractual Commitments (value next FY)],MasterTable[[Project Code and Name ]],PAProjects5[[#This Row],[LINKING_CODE]],MasterTable[Funding Source],"External Financing")/10^9</f>
        <v>7.69</v>
      </c>
      <c r="T118" s="49">
        <f>PAProjects[[#This Row],[GOU 21/22]]+PAProjects[[#This Row],[DONOR 21/22]]</f>
        <v>12.34</v>
      </c>
      <c r="U118" s="107">
        <f>SUMIFS(MasterTable[FY1 (FY22-23)],MasterTable[[Project Code and Name ]],PAProjects5[[#This Row],[LINKING_CODE]],MasterTable[Funding Source],"GoU Funded")/10^9</f>
        <v>1</v>
      </c>
      <c r="V118" s="52">
        <f>SUMIFS(MasterTable[FY1 (FY22-23)],MasterTable[[Project Code and Name ]],PAProjects5[[#This Row],[LINKING_CODE]],MasterTable[Funding Source],"External Financing")/10^9</f>
        <v>0</v>
      </c>
      <c r="W118" s="49">
        <f>PAProjects[[#This Row],[GOU 22/23]]+PAProjects[[#This Row],[DONOR 22/23]]</f>
        <v>1</v>
      </c>
      <c r="X118" s="52">
        <f>SUMIFS(MasterTable[FY2 (FY23-24)],MasterTable[[Project Code and Name ]],PAProjects5[[#This Row],[LINKING_CODE]],MasterTable[Funding Source],"GoU Funded")/10^9</f>
        <v>1</v>
      </c>
      <c r="Y118" s="52">
        <f>SUMIFS(MasterTable[FY2 (FY23-24)],MasterTable[[Project Code and Name ]],PAProjects5[[#This Row],[LINKING_CODE]],MasterTable[Funding Source],"External Financing")/10^9</f>
        <v>0</v>
      </c>
      <c r="Z118" s="2">
        <f t="shared" si="8"/>
        <v>1</v>
      </c>
      <c r="AA118" s="52">
        <f>SUMIFS(MasterTable[FY3 (FY24-25)],MasterTable[[Project Code and Name ]],PAProjects5[[#This Row],[LINKING_CODE]],MasterTable[Funding Source],"GoU Funded")/10^9</f>
        <v>1</v>
      </c>
      <c r="AB118" s="52">
        <f>SUMIFS(MasterTable[FY3 (FY24-25)],MasterTable[[Project Code and Name ]],PAProjects5[[#This Row],[LINKING_CODE]],MasterTable[Funding Source],"External Financing")/10^9</f>
        <v>0</v>
      </c>
      <c r="AC118" s="29">
        <f>PAProjects[[#This Row],[GOU 24/25]]+PAProjects[[#This Row],[DONOR 24/25]]</f>
        <v>1</v>
      </c>
    </row>
    <row r="119" spans="1:29" ht="15" hidden="1" customHeight="1" x14ac:dyDescent="0.25">
      <c r="A119" s="21" t="s">
        <v>127</v>
      </c>
      <c r="B119" s="2" t="s">
        <v>418</v>
      </c>
      <c r="C119" s="2" t="e">
        <f ca="1">PAProjects5[[#This Row],[LINKING_CODE]]=_xlfn.CONCAT(PAProjects5[[#This Row],[Project Code]]," ",PAProjects5[[#This Row],[Project Name]])</f>
        <v>#NAME?</v>
      </c>
      <c r="D119" s="2" t="str">
        <f>VLOOKUP(PAProjects5[[#This Row],[LINKING_CODE]],MasterTable[[Project Code and Name ]],1,FALSE)</f>
        <v>1656 Construction of Muko - Katuna Road (66.6 km)</v>
      </c>
      <c r="E119" s="2" t="s">
        <v>515</v>
      </c>
      <c r="F119" s="2" t="s">
        <v>944</v>
      </c>
      <c r="G119" s="2" t="s">
        <v>113</v>
      </c>
      <c r="H119" s="2" t="s">
        <v>1007</v>
      </c>
      <c r="I119" s="2" t="s">
        <v>1072</v>
      </c>
      <c r="J119" s="2" t="s">
        <v>650</v>
      </c>
      <c r="K119" s="2" t="s">
        <v>1509</v>
      </c>
      <c r="L119" s="23">
        <v>44013</v>
      </c>
      <c r="M119" s="23">
        <v>45838</v>
      </c>
      <c r="N119" s="24">
        <v>0</v>
      </c>
      <c r="O119" s="25">
        <v>386.89875000000001</v>
      </c>
      <c r="P119" s="20">
        <f t="shared" si="4"/>
        <v>386.89875000000001</v>
      </c>
      <c r="Q119" s="53">
        <f>SUMIFS(MasterTable[Estimate of Arrears at end of the current FY 2020/21 (value)],MasterTable[[Project Code and Name ]],PAProjects5[[#This Row],[LINKING_CODE]],MasterTable[Funding Source],"GoU Funded")/10^9</f>
        <v>0</v>
      </c>
      <c r="R119" s="108">
        <f>SUMIFS(MasterTable[Arrears + All Contractual Commitments (value next FY)],MasterTable[[Project Code and Name ]],PAProjects5[[#This Row],[LINKING_CODE]],MasterTable[Funding Source],"GoU Funded")/10^9</f>
        <v>0</v>
      </c>
      <c r="S119" s="108">
        <f>SUMIFS(MasterTable[Arrears + All Contractual Commitments (value next FY)],MasterTable[[Project Code and Name ]],PAProjects5[[#This Row],[LINKING_CODE]],MasterTable[Funding Source],"External Financing")/10^9</f>
        <v>0</v>
      </c>
      <c r="T119" s="49">
        <f>PAProjects[[#This Row],[GOU 21/22]]+PAProjects[[#This Row],[DONOR 21/22]]</f>
        <v>0</v>
      </c>
      <c r="U119" s="107">
        <f>SUMIFS(MasterTable[FY1 (FY22-23)],MasterTable[[Project Code and Name ]],PAProjects5[[#This Row],[LINKING_CODE]],MasterTable[Funding Source],"GoU Funded")/10^9</f>
        <v>0</v>
      </c>
      <c r="V119" s="52">
        <f>SUMIFS(MasterTable[FY1 (FY22-23)],MasterTable[[Project Code and Name ]],PAProjects5[[#This Row],[LINKING_CODE]],MasterTable[Funding Source],"External Financing")/10^9</f>
        <v>0</v>
      </c>
      <c r="W119" s="49">
        <f>PAProjects[[#This Row],[GOU 22/23]]+PAProjects[[#This Row],[DONOR 22/23]]</f>
        <v>0</v>
      </c>
      <c r="X119" s="52">
        <f>SUMIFS(MasterTable[FY2 (FY23-24)],MasterTable[[Project Code and Name ]],PAProjects5[[#This Row],[LINKING_CODE]],MasterTable[Funding Source],"GoU Funded")/10^9</f>
        <v>0</v>
      </c>
      <c r="Y119" s="52">
        <f>SUMIFS(MasterTable[FY2 (FY23-24)],MasterTable[[Project Code and Name ]],PAProjects5[[#This Row],[LINKING_CODE]],MasterTable[Funding Source],"External Financing")/10^9</f>
        <v>0</v>
      </c>
      <c r="Z119" s="2">
        <f t="shared" si="8"/>
        <v>0</v>
      </c>
      <c r="AA119" s="52">
        <f>SUMIFS(MasterTable[FY3 (FY24-25)],MasterTable[[Project Code and Name ]],PAProjects5[[#This Row],[LINKING_CODE]],MasterTable[Funding Source],"GoU Funded")/10^9</f>
        <v>0</v>
      </c>
      <c r="AB119" s="52">
        <f>SUMIFS(MasterTable[FY3 (FY24-25)],MasterTable[[Project Code and Name ]],PAProjects5[[#This Row],[LINKING_CODE]],MasterTable[Funding Source],"External Financing")/10^9</f>
        <v>0</v>
      </c>
      <c r="AC119" s="29">
        <f>PAProjects[[#This Row],[GOU 24/25]]+PAProjects[[#This Row],[DONOR 24/25]]</f>
        <v>0</v>
      </c>
    </row>
    <row r="120" spans="1:29" ht="15" hidden="1" customHeight="1" x14ac:dyDescent="0.25">
      <c r="A120" s="21" t="s">
        <v>128</v>
      </c>
      <c r="B120" s="2" t="s">
        <v>419</v>
      </c>
      <c r="C120" s="2" t="e">
        <f ca="1">PAProjects5[[#This Row],[LINKING_CODE]]=_xlfn.CONCAT(PAProjects5[[#This Row],[Project Code]]," ",PAProjects5[[#This Row],[Project Name]])</f>
        <v>#NAME?</v>
      </c>
      <c r="D120" s="2" t="str">
        <f>VLOOKUP(PAProjects5[[#This Row],[LINKING_CODE]],MasterTable[[Project Code and Name ]],1,FALSE)</f>
        <v>1657 Moyo-Yumbe-Koboko road</v>
      </c>
      <c r="E120" s="2" t="s">
        <v>515</v>
      </c>
      <c r="F120" s="2" t="s">
        <v>944</v>
      </c>
      <c r="G120" s="2" t="s">
        <v>113</v>
      </c>
      <c r="H120" s="2" t="s">
        <v>1007</v>
      </c>
      <c r="I120" s="2" t="s">
        <v>1073</v>
      </c>
      <c r="J120" s="2" t="s">
        <v>652</v>
      </c>
      <c r="K120" s="2" t="s">
        <v>1509</v>
      </c>
      <c r="L120" s="23">
        <v>44013</v>
      </c>
      <c r="M120" s="23">
        <v>45838</v>
      </c>
      <c r="N120" s="24">
        <v>396.3</v>
      </c>
      <c r="O120" s="25">
        <v>0</v>
      </c>
      <c r="P120" s="20">
        <f t="shared" si="4"/>
        <v>396.3</v>
      </c>
      <c r="Q120" s="53">
        <f>SUMIFS(MasterTable[Estimate of Arrears at end of the current FY 2020/21 (value)],MasterTable[[Project Code and Name ]],PAProjects5[[#This Row],[LINKING_CODE]],MasterTable[Funding Source],"GoU Funded")/10^9</f>
        <v>0</v>
      </c>
      <c r="R120" s="108">
        <f>SUMIFS(MasterTable[Arrears + All Contractual Commitments (value next FY)],MasterTable[[Project Code and Name ]],PAProjects5[[#This Row],[LINKING_CODE]],MasterTable[Funding Source],"GoU Funded")/10^9</f>
        <v>0</v>
      </c>
      <c r="S120" s="108">
        <f>SUMIFS(MasterTable[Arrears + All Contractual Commitments (value next FY)],MasterTable[[Project Code and Name ]],PAProjects5[[#This Row],[LINKING_CODE]],MasterTable[Funding Source],"External Financing")/10^9</f>
        <v>78</v>
      </c>
      <c r="T120" s="49">
        <f>PAProjects[[#This Row],[GOU 21/22]]+PAProjects[[#This Row],[DONOR 21/22]]</f>
        <v>78</v>
      </c>
      <c r="U120" s="107">
        <f>SUMIFS(MasterTable[FY1 (FY22-23)],MasterTable[[Project Code and Name ]],PAProjects5[[#This Row],[LINKING_CODE]],MasterTable[Funding Source],"GoU Funded")/10^9</f>
        <v>0</v>
      </c>
      <c r="V120" s="52">
        <f>SUMIFS(MasterTable[FY1 (FY22-23)],MasterTable[[Project Code and Name ]],PAProjects5[[#This Row],[LINKING_CODE]],MasterTable[Funding Source],"External Financing")/10^9</f>
        <v>117</v>
      </c>
      <c r="W120" s="49">
        <f>PAProjects[[#This Row],[GOU 22/23]]+PAProjects[[#This Row],[DONOR 22/23]]</f>
        <v>117</v>
      </c>
      <c r="X120" s="52">
        <f>SUMIFS(MasterTable[FY2 (FY23-24)],MasterTable[[Project Code and Name ]],PAProjects5[[#This Row],[LINKING_CODE]],MasterTable[Funding Source],"GoU Funded")/10^9</f>
        <v>0</v>
      </c>
      <c r="Y120" s="52">
        <f>SUMIFS(MasterTable[FY2 (FY23-24)],MasterTable[[Project Code and Name ]],PAProjects5[[#This Row],[LINKING_CODE]],MasterTable[Funding Source],"External Financing")/10^9</f>
        <v>156</v>
      </c>
      <c r="Z120" s="2">
        <f t="shared" si="8"/>
        <v>156</v>
      </c>
      <c r="AA120" s="52">
        <f>SUMIFS(MasterTable[FY3 (FY24-25)],MasterTable[[Project Code and Name ]],PAProjects5[[#This Row],[LINKING_CODE]],MasterTable[Funding Source],"GoU Funded")/10^9</f>
        <v>0</v>
      </c>
      <c r="AB120" s="52">
        <f>SUMIFS(MasterTable[FY3 (FY24-25)],MasterTable[[Project Code and Name ]],PAProjects5[[#This Row],[LINKING_CODE]],MasterTable[Funding Source],"External Financing")/10^9</f>
        <v>39</v>
      </c>
      <c r="AC120" s="29">
        <f>PAProjects[[#This Row],[GOU 24/25]]+PAProjects[[#This Row],[DONOR 24/25]]</f>
        <v>39</v>
      </c>
    </row>
    <row r="121" spans="1:29" ht="15" hidden="1" customHeight="1" x14ac:dyDescent="0.25">
      <c r="A121" s="21" t="s">
        <v>1024</v>
      </c>
      <c r="B121" s="2" t="s">
        <v>444</v>
      </c>
      <c r="C121" s="2" t="e">
        <f ca="1">PAProjects5[[#This Row],[LINKING_CODE]]=_xlfn.CONCAT(PAProjects5[[#This Row],[Project Code]]," ",PAProjects5[[#This Row],[Project Name]])</f>
        <v>#NAME?</v>
      </c>
      <c r="D121" s="2" t="str">
        <f>VLOOKUP(PAProjects5[[#This Row],[LINKING_CODE]],MasterTable[[Project Code and Name ]],1,FALSE)</f>
        <v>1659 Rehabilitation of the Tororo – Gulu railway line</v>
      </c>
      <c r="E121" s="2" t="s">
        <v>515</v>
      </c>
      <c r="F121" s="2" t="s">
        <v>944</v>
      </c>
      <c r="G121" s="2" t="s">
        <v>99</v>
      </c>
      <c r="H121" s="2" t="s">
        <v>1007</v>
      </c>
      <c r="I121" s="2" t="s">
        <v>1025</v>
      </c>
      <c r="J121" s="2" t="s">
        <v>656</v>
      </c>
      <c r="K121" s="2" t="s">
        <v>1509</v>
      </c>
      <c r="L121" s="23">
        <v>44013</v>
      </c>
      <c r="M121" s="23">
        <v>45838</v>
      </c>
      <c r="N121" s="24">
        <v>97.515000000000001</v>
      </c>
      <c r="O121" s="25">
        <v>88.334999999999994</v>
      </c>
      <c r="P121" s="20">
        <f t="shared" si="4"/>
        <v>185.85</v>
      </c>
      <c r="Q121" s="53">
        <f>SUMIFS(MasterTable[Estimate of Arrears at end of the current FY 2020/21 (value)],MasterTable[[Project Code and Name ]],PAProjects5[[#This Row],[LINKING_CODE]],MasterTable[Funding Source],"GoU Funded")/10^9</f>
        <v>0</v>
      </c>
      <c r="R121" s="108">
        <f>SUMIFS(MasterTable[Arrears + All Contractual Commitments (value next FY)],MasterTable[[Project Code and Name ]],PAProjects5[[#This Row],[LINKING_CODE]],MasterTable[Funding Source],"GoU Funded")/10^9</f>
        <v>6.6</v>
      </c>
      <c r="S121" s="108">
        <f>SUMIFS(MasterTable[Arrears + All Contractual Commitments (value next FY)],MasterTable[[Project Code and Name ]],PAProjects5[[#This Row],[LINKING_CODE]],MasterTable[Funding Source],"External Financing")/10^9</f>
        <v>21.584</v>
      </c>
      <c r="T121" s="49">
        <f>PAProjects[[#This Row],[GOU 21/22]]+PAProjects[[#This Row],[DONOR 21/22]]</f>
        <v>28.183999999999997</v>
      </c>
      <c r="U121" s="107">
        <f>SUMIFS(MasterTable[FY1 (FY22-23)],MasterTable[[Project Code and Name ]],PAProjects5[[#This Row],[LINKING_CODE]],MasterTable[Funding Source],"GoU Funded")/10^9</f>
        <v>34.159999999999997</v>
      </c>
      <c r="V121" s="52">
        <f>SUMIFS(MasterTable[FY1 (FY22-23)],MasterTable[[Project Code and Name ]],PAProjects5[[#This Row],[LINKING_CODE]],MasterTable[Funding Source],"External Financing")/10^9</f>
        <v>20.6967</v>
      </c>
      <c r="W121" s="29">
        <f>PAProjects[[#This Row],[GOU 22/23]]+PAProjects[[#This Row],[DONOR 22/23]]</f>
        <v>54.856699999999996</v>
      </c>
      <c r="X121" s="52">
        <f>SUMIFS(MasterTable[FY2 (FY23-24)],MasterTable[[Project Code and Name ]],PAProjects5[[#This Row],[LINKING_CODE]],MasterTable[Funding Source],"GoU Funded")/10^9</f>
        <v>29</v>
      </c>
      <c r="Y121" s="52">
        <f>SUMIFS(MasterTable[FY2 (FY23-24)],MasterTable[[Project Code and Name ]],PAProjects5[[#This Row],[LINKING_CODE]],MasterTable[Funding Source],"External Financing")/10^9</f>
        <v>16.932377500000001</v>
      </c>
      <c r="Z121" s="29">
        <f t="shared" si="8"/>
        <v>45.932377500000001</v>
      </c>
      <c r="AA121" s="52">
        <f>SUMIFS(MasterTable[FY3 (FY24-25)],MasterTable[[Project Code and Name ]],PAProjects5[[#This Row],[LINKING_CODE]],MasterTable[Funding Source],"GoU Funded")/10^9</f>
        <v>25.155000000000001</v>
      </c>
      <c r="AB121" s="52">
        <f>SUMIFS(MasterTable[FY3 (FY24-25)],MasterTable[[Project Code and Name ]],PAProjects5[[#This Row],[LINKING_CODE]],MasterTable[Funding Source],"External Financing")/10^9</f>
        <v>12.8119225</v>
      </c>
      <c r="AC121" s="29">
        <f>PAProjects[[#This Row],[GOU 24/25]]+PAProjects[[#This Row],[DONOR 24/25]]</f>
        <v>37.966922500000003</v>
      </c>
    </row>
    <row r="122" spans="1:29" ht="15" hidden="1" customHeight="1" x14ac:dyDescent="0.25">
      <c r="A122" s="21" t="s">
        <v>617</v>
      </c>
      <c r="B122" s="2" t="s">
        <v>471</v>
      </c>
      <c r="C122" s="2" t="e">
        <f ca="1">PAProjects5[[#This Row],[LINKING_CODE]]=_xlfn.CONCAT(PAProjects5[[#This Row],[Project Code]]," ",PAProjects5[[#This Row],[Project Name]])</f>
        <v>#NAME?</v>
      </c>
      <c r="D122" s="2" t="str">
        <f>VLOOKUP(PAProjects5[[#This Row],[LINKING_CODE]],MasterTable[[Project Code and Name ]],1,FALSE)</f>
        <v>1665 Uganda Secondary Education Expansion Project</v>
      </c>
      <c r="E122" s="2" t="s">
        <v>519</v>
      </c>
      <c r="F122" s="2" t="s">
        <v>960</v>
      </c>
      <c r="G122" s="2" t="s">
        <v>961</v>
      </c>
      <c r="H122" s="2" t="s">
        <v>962</v>
      </c>
      <c r="I122" s="2" t="s">
        <v>972</v>
      </c>
      <c r="J122" s="2" t="s">
        <v>693</v>
      </c>
      <c r="K122" s="2" t="s">
        <v>1509</v>
      </c>
      <c r="L122" s="23">
        <v>44013</v>
      </c>
      <c r="M122" s="23">
        <v>45838</v>
      </c>
      <c r="N122" s="24">
        <v>0</v>
      </c>
      <c r="O122" s="25">
        <v>555</v>
      </c>
      <c r="P122" s="20">
        <f t="shared" si="4"/>
        <v>555</v>
      </c>
      <c r="Q122" s="53">
        <f>SUMIFS(MasterTable[Estimate of Arrears at end of the current FY 2020/21 (value)],MasterTable[[Project Code and Name ]],PAProjects5[[#This Row],[LINKING_CODE]],MasterTable[Funding Source],"GoU Funded")/10^9</f>
        <v>0</v>
      </c>
      <c r="R122" s="108">
        <f>SUMIFS(MasterTable[Arrears + All Contractual Commitments (value next FY)],MasterTable[[Project Code and Name ]],PAProjects5[[#This Row],[LINKING_CODE]],MasterTable[Funding Source],"GoU Funded")/10^9</f>
        <v>1.5</v>
      </c>
      <c r="S122" s="108">
        <f>SUMIFS(MasterTable[Arrears + All Contractual Commitments (value next FY)],MasterTable[[Project Code and Name ]],PAProjects5[[#This Row],[LINKING_CODE]],MasterTable[Funding Source],"External Financing")/10^9</f>
        <v>0</v>
      </c>
      <c r="T122" s="49">
        <f>PAProjects[[#This Row],[GOU 21/22]]+PAProjects[[#This Row],[DONOR 21/22]]</f>
        <v>1.5</v>
      </c>
      <c r="U122" s="107">
        <f>SUMIFS(MasterTable[FY1 (FY22-23)],MasterTable[[Project Code and Name ]],PAProjects5[[#This Row],[LINKING_CODE]],MasterTable[Funding Source],"GoU Funded")/10^9</f>
        <v>1.5</v>
      </c>
      <c r="V122" s="52">
        <f>SUMIFS(MasterTable[FY1 (FY22-23)],MasterTable[[Project Code and Name ]],PAProjects5[[#This Row],[LINKING_CODE]],MasterTable[Funding Source],"External Financing")/10^9</f>
        <v>81.88</v>
      </c>
      <c r="W122" s="49">
        <f>PAProjects[[#This Row],[GOU 22/23]]+PAProjects[[#This Row],[DONOR 22/23]]</f>
        <v>83.38</v>
      </c>
      <c r="X122" s="52">
        <f>SUMIFS(MasterTable[FY2 (FY23-24)],MasterTable[[Project Code and Name ]],PAProjects5[[#This Row],[LINKING_CODE]],MasterTable[Funding Source],"GoU Funded")/10^9</f>
        <v>33.799999999999997</v>
      </c>
      <c r="Y122" s="52">
        <f>SUMIFS(MasterTable[FY2 (FY23-24)],MasterTable[[Project Code and Name ]],PAProjects5[[#This Row],[LINKING_CODE]],MasterTable[Funding Source],"External Financing")/10^9</f>
        <v>167.36</v>
      </c>
      <c r="Z122" s="2">
        <f t="shared" si="8"/>
        <v>201.16000000000003</v>
      </c>
      <c r="AA122" s="52">
        <f>SUMIFS(MasterTable[FY3 (FY24-25)],MasterTable[[Project Code and Name ]],PAProjects5[[#This Row],[LINKING_CODE]],MasterTable[Funding Source],"GoU Funded")/10^9</f>
        <v>33.799999999999997</v>
      </c>
      <c r="AB122" s="52">
        <f>SUMIFS(MasterTable[FY3 (FY24-25)],MasterTable[[Project Code and Name ]],PAProjects5[[#This Row],[LINKING_CODE]],MasterTable[Funding Source],"External Financing")/10^9</f>
        <v>185.7</v>
      </c>
      <c r="AC122" s="29">
        <f>PAProjects[[#This Row],[GOU 24/25]]+PAProjects[[#This Row],[DONOR 24/25]]</f>
        <v>219.5</v>
      </c>
    </row>
    <row r="123" spans="1:29" ht="15" hidden="1" customHeight="1" x14ac:dyDescent="0.25">
      <c r="A123" s="21" t="s">
        <v>240</v>
      </c>
      <c r="B123" s="2" t="s">
        <v>18</v>
      </c>
      <c r="C123" s="2" t="e">
        <f ca="1">PAProjects5[[#This Row],[LINKING_CODE]]=_xlfn.CONCAT(PAProjects5[[#This Row],[Project Code]]," ",PAProjects5[[#This Row],[Project Name]])</f>
        <v>#NAME?</v>
      </c>
      <c r="D123" s="2" t="str">
        <f>VLOOKUP(PAProjects5[[#This Row],[LINKING_CODE]],MasterTable[[Project Code and Name ]],1,FALSE)</f>
        <v xml:space="preserve">1673 Retooling of Office of the Prime Minister </v>
      </c>
      <c r="E123" s="2" t="s">
        <v>529</v>
      </c>
      <c r="F123" s="2" t="s">
        <v>934</v>
      </c>
      <c r="G123" s="2" t="s">
        <v>0</v>
      </c>
      <c r="H123" s="2" t="s">
        <v>1113</v>
      </c>
      <c r="I123" s="2" t="s">
        <v>1199</v>
      </c>
      <c r="J123" s="2" t="s">
        <v>846</v>
      </c>
      <c r="K123" s="2" t="str">
        <f t="shared" si="7"/>
        <v>Retooling</v>
      </c>
      <c r="L123" s="23">
        <v>44013</v>
      </c>
      <c r="M123" s="23">
        <v>44742</v>
      </c>
      <c r="N123" s="30">
        <v>14.1015</v>
      </c>
      <c r="O123" s="20"/>
      <c r="P123" s="20">
        <f t="shared" si="4"/>
        <v>14.1015</v>
      </c>
      <c r="Q123" s="53">
        <f>SUMIFS(MasterTable[Estimate of Arrears at end of the current FY 2020/21 (value)],MasterTable[[Project Code and Name ]],PAProjects5[[#This Row],[LINKING_CODE]],MasterTable[Funding Source],"GoU Funded")/10^9</f>
        <v>0</v>
      </c>
      <c r="R123" s="108">
        <f>SUMIFS(MasterTable[Arrears + All Contractual Commitments (value next FY)],MasterTable[[Project Code and Name ]],PAProjects5[[#This Row],[LINKING_CODE]],MasterTable[Funding Source],"GoU Funded")/10^9</f>
        <v>2.06</v>
      </c>
      <c r="S123" s="108">
        <f>SUMIFS(MasterTable[Arrears + All Contractual Commitments (value next FY)],MasterTable[[Project Code and Name ]],PAProjects5[[#This Row],[LINKING_CODE]],MasterTable[Funding Source],"External Financing")/10^9</f>
        <v>0</v>
      </c>
      <c r="T123" s="49">
        <f>PAProjects[[#This Row],[GOU 21/22]]+PAProjects[[#This Row],[DONOR 21/22]]</f>
        <v>2.06</v>
      </c>
      <c r="U123" s="107">
        <f>SUMIFS(MasterTable[FY1 (FY22-23)],MasterTable[[Project Code and Name ]],PAProjects5[[#This Row],[LINKING_CODE]],MasterTable[Funding Source],"GoU Funded")/10^9</f>
        <v>5.2912999999999997</v>
      </c>
      <c r="V123" s="52">
        <f>SUMIFS(MasterTable[FY1 (FY22-23)],MasterTable[[Project Code and Name ]],PAProjects5[[#This Row],[LINKING_CODE]],MasterTable[Funding Source],"External Financing")/10^9</f>
        <v>0</v>
      </c>
      <c r="W123" s="29">
        <f>PAProjects[[#This Row],[GOU 22/23]]+PAProjects[[#This Row],[DONOR 22/23]]</f>
        <v>5.2912999999999997</v>
      </c>
      <c r="X123" s="52">
        <f>SUMIFS(MasterTable[FY2 (FY23-24)],MasterTable[[Project Code and Name ]],PAProjects5[[#This Row],[LINKING_CODE]],MasterTable[Funding Source],"GoU Funded")/10^9</f>
        <v>2.9058000000000002</v>
      </c>
      <c r="Y123" s="52">
        <f>SUMIFS(MasterTable[FY2 (FY23-24)],MasterTable[[Project Code and Name ]],PAProjects5[[#This Row],[LINKING_CODE]],MasterTable[Funding Source],"External Financing")/10^9</f>
        <v>0</v>
      </c>
      <c r="Z123" s="29">
        <f>SUM(X123:Y123)</f>
        <v>2.9058000000000002</v>
      </c>
      <c r="AA123" s="52">
        <f>SUMIFS(MasterTable[FY3 (FY24-25)],MasterTable[[Project Code and Name ]],PAProjects5[[#This Row],[LINKING_CODE]],MasterTable[Funding Source],"GoU Funded")/10^9</f>
        <v>1.7884</v>
      </c>
      <c r="AB123" s="52">
        <f>SUMIFS(MasterTable[FY3 (FY24-25)],MasterTable[[Project Code and Name ]],PAProjects5[[#This Row],[LINKING_CODE]],MasterTable[Funding Source],"External Financing")/10^9</f>
        <v>0</v>
      </c>
      <c r="AC123" s="29">
        <f>PAProjects[[#This Row],[GOU 24/25]]+PAProjects[[#This Row],[DONOR 24/25]]</f>
        <v>1.7884</v>
      </c>
    </row>
    <row r="124" spans="1:29" ht="15" hidden="1" customHeight="1" x14ac:dyDescent="0.25">
      <c r="A124" s="21" t="s">
        <v>169</v>
      </c>
      <c r="B124" s="2" t="s">
        <v>449</v>
      </c>
      <c r="C124" s="2" t="e">
        <f ca="1">PAProjects5[[#This Row],[LINKING_CODE]]=_xlfn.CONCAT(PAProjects5[[#This Row],[Project Code]]," ",PAProjects5[[#This Row],[Project Name]])</f>
        <v>#NAME?</v>
      </c>
      <c r="D124" s="2" t="str">
        <f>VLOOKUP(PAProjects5[[#This Row],[LINKING_CODE]],MasterTable[[Project Code and Name ]],1,FALSE)</f>
        <v>1675 Retooling of Uganda National Bureau of Standards</v>
      </c>
      <c r="E124" s="2" t="s">
        <v>518</v>
      </c>
      <c r="F124" s="2" t="s">
        <v>927</v>
      </c>
      <c r="G124" s="2" t="s">
        <v>154</v>
      </c>
      <c r="H124" s="2" t="s">
        <v>1113</v>
      </c>
      <c r="I124" s="2" t="s">
        <v>1126</v>
      </c>
      <c r="J124" s="2" t="s">
        <v>664</v>
      </c>
      <c r="K124" s="2" t="str">
        <f t="shared" si="7"/>
        <v>Retooling</v>
      </c>
      <c r="L124" s="23">
        <v>44013</v>
      </c>
      <c r="M124" s="23">
        <v>45838</v>
      </c>
      <c r="N124" s="30">
        <v>58.264576140000003</v>
      </c>
      <c r="O124" s="20"/>
      <c r="P124" s="20">
        <f t="shared" si="4"/>
        <v>58.264576140000003</v>
      </c>
      <c r="Q124" s="53">
        <f>SUMIFS(MasterTable[Estimate of Arrears at end of the current FY 2020/21 (value)],MasterTable[[Project Code and Name ]],PAProjects5[[#This Row],[LINKING_CODE]],MasterTable[Funding Source],"GoU Funded")/10^9</f>
        <v>0</v>
      </c>
      <c r="R124" s="108">
        <f>SUMIFS(MasterTable[Arrears + All Contractual Commitments (value next FY)],MasterTable[[Project Code and Name ]],PAProjects5[[#This Row],[LINKING_CODE]],MasterTable[Funding Source],"GoU Funded")/10^9</f>
        <v>11.652915227999999</v>
      </c>
      <c r="S124" s="108">
        <f>SUMIFS(MasterTable[Arrears + All Contractual Commitments (value next FY)],MasterTable[[Project Code and Name ]],PAProjects5[[#This Row],[LINKING_CODE]],MasterTable[Funding Source],"External Financing")/10^9</f>
        <v>0</v>
      </c>
      <c r="T124" s="29">
        <f>PAProjects[[#This Row],[GOU 21/22]]+PAProjects[[#This Row],[DONOR 21/22]]</f>
        <v>11.652915227999999</v>
      </c>
      <c r="U124" s="107">
        <f>SUMIFS(MasterTable[FY1 (FY22-23)],MasterTable[[Project Code and Name ]],PAProjects5[[#This Row],[LINKING_CODE]],MasterTable[Funding Source],"GoU Funded")/10^9</f>
        <v>11.652915227999999</v>
      </c>
      <c r="V124" s="52">
        <f>SUMIFS(MasterTable[FY1 (FY22-23)],MasterTable[[Project Code and Name ]],PAProjects5[[#This Row],[LINKING_CODE]],MasterTable[Funding Source],"External Financing")/10^9</f>
        <v>0</v>
      </c>
      <c r="W124" s="29">
        <f>PAProjects[[#This Row],[GOU 22/23]]+PAProjects[[#This Row],[DONOR 22/23]]</f>
        <v>11.652915227999999</v>
      </c>
      <c r="X124" s="52">
        <f>SUMIFS(MasterTable[FY2 (FY23-24)],MasterTable[[Project Code and Name ]],PAProjects5[[#This Row],[LINKING_CODE]],MasterTable[Funding Source],"GoU Funded")/10^9</f>
        <v>11.652915227999999</v>
      </c>
      <c r="Y124" s="52">
        <f>SUMIFS(MasterTable[FY2 (FY23-24)],MasterTable[[Project Code and Name ]],PAProjects5[[#This Row],[LINKING_CODE]],MasterTable[Funding Source],"External Financing")/10^9</f>
        <v>0</v>
      </c>
      <c r="Z124" s="29">
        <f>X124+Y124</f>
        <v>11.652915227999999</v>
      </c>
      <c r="AA124" s="52">
        <f>SUMIFS(MasterTable[FY3 (FY24-25)],MasterTable[[Project Code and Name ]],PAProjects5[[#This Row],[LINKING_CODE]],MasterTable[Funding Source],"GoU Funded")/10^9</f>
        <v>11.652915227999999</v>
      </c>
      <c r="AB124" s="52">
        <f>SUMIFS(MasterTable[FY3 (FY24-25)],MasterTable[[Project Code and Name ]],PAProjects5[[#This Row],[LINKING_CODE]],MasterTable[Funding Source],"External Financing")/10^9</f>
        <v>0</v>
      </c>
      <c r="AC124" s="29">
        <f>PAProjects[[#This Row],[GOU 24/25]]+PAProjects[[#This Row],[DONOR 24/25]]</f>
        <v>11.652915227999999</v>
      </c>
    </row>
    <row r="125" spans="1:29" ht="15" hidden="1" customHeight="1" x14ac:dyDescent="0.25">
      <c r="A125" s="21" t="s">
        <v>266</v>
      </c>
      <c r="B125" s="2" t="s">
        <v>453</v>
      </c>
      <c r="C125" s="2" t="e">
        <f ca="1">PAProjects5[[#This Row],[LINKING_CODE]]=_xlfn.CONCAT(PAProjects5[[#This Row],[Project Code]]," ",PAProjects5[[#This Row],[Project Name]])</f>
        <v>#NAME?</v>
      </c>
      <c r="D125" s="2" t="str">
        <f>VLOOKUP(PAProjects5[[#This Row],[LINKING_CODE]],MasterTable[[Project Code and Name ]],1,FALSE)</f>
        <v>1676 Retooling of Uganda Tourism Board</v>
      </c>
      <c r="E125" s="2" t="s">
        <v>538</v>
      </c>
      <c r="F125" s="2" t="s">
        <v>1229</v>
      </c>
      <c r="G125" s="2" t="s">
        <v>117</v>
      </c>
      <c r="H125" s="2" t="s">
        <v>1113</v>
      </c>
      <c r="I125" s="2" t="s">
        <v>1231</v>
      </c>
      <c r="J125" s="2" t="s">
        <v>873</v>
      </c>
      <c r="K125" s="2" t="str">
        <f t="shared" si="7"/>
        <v>Retooling</v>
      </c>
      <c r="L125" s="26">
        <v>44013</v>
      </c>
      <c r="M125" s="23">
        <v>45838</v>
      </c>
      <c r="N125" s="24">
        <v>14.515000000000001</v>
      </c>
      <c r="O125" s="20"/>
      <c r="P125" s="20">
        <f t="shared" si="4"/>
        <v>14.515000000000001</v>
      </c>
      <c r="Q125" s="53">
        <f>SUMIFS(MasterTable[Estimate of Arrears at end of the current FY 2020/21 (value)],MasterTable[[Project Code and Name ]],PAProjects5[[#This Row],[LINKING_CODE]],MasterTable[Funding Source],"GoU Funded")/10^9</f>
        <v>0.06</v>
      </c>
      <c r="R125" s="108">
        <f>SUMIFS(MasterTable[Arrears + All Contractual Commitments (value next FY)],MasterTable[[Project Code and Name ]],PAProjects5[[#This Row],[LINKING_CODE]],MasterTable[Funding Source],"GoU Funded")/10^9</f>
        <v>4.7439999999999998</v>
      </c>
      <c r="S125" s="108">
        <f>SUMIFS(MasterTable[Arrears + All Contractual Commitments (value next FY)],MasterTable[[Project Code and Name ]],PAProjects5[[#This Row],[LINKING_CODE]],MasterTable[Funding Source],"External Financing")/10^9</f>
        <v>0</v>
      </c>
      <c r="T125" s="29">
        <f>PAProjects[[#This Row],[GOU 21/22]]+PAProjects[[#This Row],[DONOR 21/22]]</f>
        <v>4.7439999999999998</v>
      </c>
      <c r="U125" s="107">
        <f>SUMIFS(MasterTable[FY1 (FY22-23)],MasterTable[[Project Code and Name ]],PAProjects5[[#This Row],[LINKING_CODE]],MasterTable[Funding Source],"GoU Funded")/10^9</f>
        <v>4.1920000000000002</v>
      </c>
      <c r="V125" s="52">
        <f>SUMIFS(MasterTable[FY1 (FY22-23)],MasterTable[[Project Code and Name ]],PAProjects5[[#This Row],[LINKING_CODE]],MasterTable[Funding Source],"External Financing")/10^9</f>
        <v>0</v>
      </c>
      <c r="W125" s="29">
        <f>PAProjects[[#This Row],[GOU 22/23]]+PAProjects[[#This Row],[DONOR 22/23]]</f>
        <v>4.1920000000000002</v>
      </c>
      <c r="X125" s="52">
        <f>SUMIFS(MasterTable[FY2 (FY23-24)],MasterTable[[Project Code and Name ]],PAProjects5[[#This Row],[LINKING_CODE]],MasterTable[Funding Source],"GoU Funded")/10^9</f>
        <v>2.5510000000000002</v>
      </c>
      <c r="Y125" s="52">
        <f>SUMIFS(MasterTable[FY2 (FY23-24)],MasterTable[[Project Code and Name ]],PAProjects5[[#This Row],[LINKING_CODE]],MasterTable[Funding Source],"External Financing")/10^9</f>
        <v>0</v>
      </c>
      <c r="Z125" s="29">
        <f>SUM(X125:Y125)</f>
        <v>2.5510000000000002</v>
      </c>
      <c r="AA125" s="52">
        <f>SUMIFS(MasterTable[FY3 (FY24-25)],MasterTable[[Project Code and Name ]],PAProjects5[[#This Row],[LINKING_CODE]],MasterTable[Funding Source],"GoU Funded")/10^9</f>
        <v>2.8730000000000002</v>
      </c>
      <c r="AB125" s="52">
        <f>SUMIFS(MasterTable[FY3 (FY24-25)],MasterTable[[Project Code and Name ]],PAProjects5[[#This Row],[LINKING_CODE]],MasterTable[Funding Source],"External Financing")/10^9</f>
        <v>0</v>
      </c>
      <c r="AC125" s="29">
        <f>PAProjects[[#This Row],[GOU 24/25]]+PAProjects[[#This Row],[DONOR 24/25]]</f>
        <v>2.8730000000000002</v>
      </c>
    </row>
    <row r="126" spans="1:29" ht="15" hidden="1" customHeight="1" x14ac:dyDescent="0.25">
      <c r="A126" s="21" t="s">
        <v>185</v>
      </c>
      <c r="B126" s="2" t="s">
        <v>479</v>
      </c>
      <c r="C126" s="2" t="e">
        <f ca="1">PAProjects5[[#This Row],[LINKING_CODE]]=_xlfn.CONCAT(PAProjects5[[#This Row],[Project Code]]," ",PAProjects5[[#This Row],[Project Name]])</f>
        <v>#NAME?</v>
      </c>
      <c r="D126" s="2" t="str">
        <f>VLOOKUP(PAProjects5[[#This Row],[LINKING_CODE]],MasterTable[[Project Code and Name ]],1,FALSE)</f>
        <v>1680 Retooling of Soroti University</v>
      </c>
      <c r="E126" s="2" t="s">
        <v>519</v>
      </c>
      <c r="F126" s="2" t="s">
        <v>960</v>
      </c>
      <c r="G126" s="2" t="s">
        <v>308</v>
      </c>
      <c r="H126" s="2" t="s">
        <v>1113</v>
      </c>
      <c r="I126" s="2" t="s">
        <v>1142</v>
      </c>
      <c r="J126" s="2" t="s">
        <v>694</v>
      </c>
      <c r="K126" s="2" t="str">
        <f t="shared" si="7"/>
        <v>Retooling</v>
      </c>
      <c r="L126" s="23">
        <v>44013</v>
      </c>
      <c r="M126" s="23">
        <v>45838</v>
      </c>
      <c r="N126" s="20">
        <v>10.1</v>
      </c>
      <c r="O126" s="20"/>
      <c r="P126" s="20">
        <f t="shared" si="4"/>
        <v>10.1</v>
      </c>
      <c r="Q126" s="53">
        <f>SUMIFS(MasterTable[Estimate of Arrears at end of the current FY 2020/21 (value)],MasterTable[[Project Code and Name ]],PAProjects5[[#This Row],[LINKING_CODE]],MasterTable[Funding Source],"GoU Funded")/10^9</f>
        <v>0</v>
      </c>
      <c r="R126" s="108">
        <f>SUMIFS(MasterTable[Arrears + All Contractual Commitments (value next FY)],MasterTable[[Project Code and Name ]],PAProjects5[[#This Row],[LINKING_CODE]],MasterTable[Funding Source],"GoU Funded")/10^9</f>
        <v>3.85</v>
      </c>
      <c r="S126" s="108">
        <f>SUMIFS(MasterTable[Arrears + All Contractual Commitments (value next FY)],MasterTable[[Project Code and Name ]],PAProjects5[[#This Row],[LINKING_CODE]],MasterTable[Funding Source],"External Financing")/10^9</f>
        <v>0</v>
      </c>
      <c r="T126" s="29">
        <f>PAProjects[[#This Row],[GOU 21/22]]+PAProjects[[#This Row],[DONOR 21/22]]</f>
        <v>3.85</v>
      </c>
      <c r="U126" s="107">
        <f>SUMIFS(MasterTable[FY1 (FY22-23)],MasterTable[[Project Code and Name ]],PAProjects5[[#This Row],[LINKING_CODE]],MasterTable[Funding Source],"GoU Funded")/10^9</f>
        <v>1.65</v>
      </c>
      <c r="V126" s="52">
        <f>SUMIFS(MasterTable[FY1 (FY22-23)],MasterTable[[Project Code and Name ]],PAProjects5[[#This Row],[LINKING_CODE]],MasterTable[Funding Source],"External Financing")/10^9</f>
        <v>0</v>
      </c>
      <c r="W126" s="29">
        <f>PAProjects[[#This Row],[GOU 22/23]]+PAProjects[[#This Row],[DONOR 22/23]]</f>
        <v>1.65</v>
      </c>
      <c r="X126" s="52">
        <f>SUMIFS(MasterTable[FY2 (FY23-24)],MasterTable[[Project Code and Name ]],PAProjects5[[#This Row],[LINKING_CODE]],MasterTable[Funding Source],"GoU Funded")/10^9</f>
        <v>1.55</v>
      </c>
      <c r="Y126" s="52">
        <f>SUMIFS(MasterTable[FY2 (FY23-24)],MasterTable[[Project Code and Name ]],PAProjects5[[#This Row],[LINKING_CODE]],MasterTable[Funding Source],"External Financing")/10^9</f>
        <v>0</v>
      </c>
      <c r="Z126" s="29">
        <f t="shared" ref="Z126:Z132" si="9">X126+Y126</f>
        <v>1.55</v>
      </c>
      <c r="AA126" s="52">
        <f>SUMIFS(MasterTable[FY3 (FY24-25)],MasterTable[[Project Code and Name ]],PAProjects5[[#This Row],[LINKING_CODE]],MasterTable[Funding Source],"GoU Funded")/10^9</f>
        <v>1.1499999999999999</v>
      </c>
      <c r="AB126" s="52">
        <f>SUMIFS(MasterTable[FY3 (FY24-25)],MasterTable[[Project Code and Name ]],PAProjects5[[#This Row],[LINKING_CODE]],MasterTable[Funding Source],"External Financing")/10^9</f>
        <v>0</v>
      </c>
      <c r="AC126" s="29">
        <f>PAProjects[[#This Row],[GOU 24/25]]+PAProjects[[#This Row],[DONOR 24/25]]</f>
        <v>1.1499999999999999</v>
      </c>
    </row>
    <row r="127" spans="1:29" ht="15" hidden="1" customHeight="1" x14ac:dyDescent="0.25">
      <c r="A127" s="21" t="s">
        <v>170</v>
      </c>
      <c r="B127" s="2" t="s">
        <v>382</v>
      </c>
      <c r="C127" s="2" t="e">
        <f ca="1">PAProjects5[[#This Row],[LINKING_CODE]]=_xlfn.CONCAT(PAProjects5[[#This Row],[Project Code]]," ",PAProjects5[[#This Row],[Project Name]])</f>
        <v>#NAME?</v>
      </c>
      <c r="D127" s="2" t="str">
        <f>VLOOKUP(PAProjects5[[#This Row],[LINKING_CODE]],MasterTable[[Project Code and Name ]],1,FALSE)</f>
        <v>1688 Retooling of Uganda Export Promotion Board</v>
      </c>
      <c r="E127" s="2" t="s">
        <v>518</v>
      </c>
      <c r="F127" s="2" t="s">
        <v>927</v>
      </c>
      <c r="G127" s="2" t="s">
        <v>306</v>
      </c>
      <c r="H127" s="2" t="s">
        <v>1113</v>
      </c>
      <c r="I127" s="2" t="s">
        <v>1127</v>
      </c>
      <c r="J127" s="2" t="s">
        <v>665</v>
      </c>
      <c r="K127" s="2" t="str">
        <f t="shared" si="7"/>
        <v>Retooling</v>
      </c>
      <c r="L127" s="23">
        <v>44013</v>
      </c>
      <c r="M127" s="23">
        <v>45838</v>
      </c>
      <c r="N127" s="30">
        <v>7.2662810000000002</v>
      </c>
      <c r="O127" s="20"/>
      <c r="P127" s="20">
        <f t="shared" si="4"/>
        <v>7.2662810000000002</v>
      </c>
      <c r="Q127" s="53">
        <f>SUMIFS(MasterTable[Estimate of Arrears at end of the current FY 2020/21 (value)],MasterTable[[Project Code and Name ]],PAProjects5[[#This Row],[LINKING_CODE]],MasterTable[Funding Source],"GoU Funded")/10^9</f>
        <v>0</v>
      </c>
      <c r="R127" s="108">
        <f>SUMIFS(MasterTable[Arrears + All Contractual Commitments (value next FY)],MasterTable[[Project Code and Name ]],PAProjects5[[#This Row],[LINKING_CODE]],MasterTable[Funding Source],"GoU Funded")/10^9</f>
        <v>2.2629999999999999</v>
      </c>
      <c r="S127" s="108">
        <f>SUMIFS(MasterTable[Arrears + All Contractual Commitments (value next FY)],MasterTable[[Project Code and Name ]],PAProjects5[[#This Row],[LINKING_CODE]],MasterTable[Funding Source],"External Financing")/10^9</f>
        <v>0</v>
      </c>
      <c r="T127" s="29">
        <f>PAProjects[[#This Row],[GOU 21/22]]+PAProjects[[#This Row],[DONOR 21/22]]</f>
        <v>2.2629999999999999</v>
      </c>
      <c r="U127" s="107">
        <f>SUMIFS(MasterTable[FY1 (FY22-23)],MasterTable[[Project Code and Name ]],PAProjects5[[#This Row],[LINKING_CODE]],MasterTable[Funding Source],"GoU Funded")/10^9</f>
        <v>2.2190002799999999</v>
      </c>
      <c r="V127" s="52">
        <f>SUMIFS(MasterTable[FY1 (FY22-23)],MasterTable[[Project Code and Name ]],PAProjects5[[#This Row],[LINKING_CODE]],MasterTable[Funding Source],"External Financing")/10^9</f>
        <v>0</v>
      </c>
      <c r="W127" s="29">
        <f>PAProjects[[#This Row],[GOU 22/23]]+PAProjects[[#This Row],[DONOR 22/23]]</f>
        <v>2.2190002799999999</v>
      </c>
      <c r="X127" s="52">
        <f>SUMIFS(MasterTable[FY2 (FY23-24)],MasterTable[[Project Code and Name ]],PAProjects5[[#This Row],[LINKING_CODE]],MasterTable[Funding Source],"GoU Funded")/10^9</f>
        <v>1.569</v>
      </c>
      <c r="Y127" s="52">
        <f>SUMIFS(MasterTable[FY2 (FY23-24)],MasterTable[[Project Code and Name ]],PAProjects5[[#This Row],[LINKING_CODE]],MasterTable[Funding Source],"External Financing")/10^9</f>
        <v>0</v>
      </c>
      <c r="Z127" s="29">
        <f t="shared" si="9"/>
        <v>1.569</v>
      </c>
      <c r="AA127" s="52">
        <f>SUMIFS(MasterTable[FY3 (FY24-25)],MasterTable[[Project Code and Name ]],PAProjects5[[#This Row],[LINKING_CODE]],MasterTable[Funding Source],"GoU Funded")/10^9</f>
        <v>1.159</v>
      </c>
      <c r="AB127" s="52">
        <f>SUMIFS(MasterTable[FY3 (FY24-25)],MasterTable[[Project Code and Name ]],PAProjects5[[#This Row],[LINKING_CODE]],MasterTable[Funding Source],"External Financing")/10^9</f>
        <v>0</v>
      </c>
      <c r="AC127" s="29">
        <f>PAProjects[[#This Row],[GOU 24/25]]+PAProjects[[#This Row],[DONOR 24/25]]</f>
        <v>1.159</v>
      </c>
    </row>
    <row r="128" spans="1:29" ht="15" hidden="1" customHeight="1" x14ac:dyDescent="0.25">
      <c r="A128" s="21" t="s">
        <v>168</v>
      </c>
      <c r="B128" s="2" t="s">
        <v>379</v>
      </c>
      <c r="C128" s="2" t="e">
        <f ca="1">PAProjects5[[#This Row],[LINKING_CODE]]=_xlfn.CONCAT(PAProjects5[[#This Row],[Project Code]]," ",PAProjects5[[#This Row],[Project Name]])</f>
        <v>#NAME?</v>
      </c>
      <c r="D128" s="2" t="str">
        <f>VLOOKUP(PAProjects5[[#This Row],[LINKING_CODE]],MasterTable[[Project Code and Name ]],1,FALSE)</f>
        <v>1689 Retooling of Ministry of Trade and Industry</v>
      </c>
      <c r="E128" s="2" t="s">
        <v>518</v>
      </c>
      <c r="F128" s="2" t="s">
        <v>927</v>
      </c>
      <c r="G128" s="2" t="s">
        <v>98</v>
      </c>
      <c r="H128" s="2" t="s">
        <v>1113</v>
      </c>
      <c r="I128" s="2" t="s">
        <v>1125</v>
      </c>
      <c r="J128" s="2" t="s">
        <v>666</v>
      </c>
      <c r="K128" s="2" t="str">
        <f t="shared" si="7"/>
        <v>Retooling</v>
      </c>
      <c r="L128" s="23">
        <v>44013</v>
      </c>
      <c r="M128" s="23">
        <v>45838</v>
      </c>
      <c r="N128" s="30">
        <v>11.7</v>
      </c>
      <c r="O128" s="20"/>
      <c r="P128" s="20">
        <f t="shared" si="4"/>
        <v>11.7</v>
      </c>
      <c r="Q128" s="53">
        <f>SUMIFS(MasterTable[Estimate of Arrears at end of the current FY 2020/21 (value)],MasterTable[[Project Code and Name ]],PAProjects5[[#This Row],[LINKING_CODE]],MasterTable[Funding Source],"GoU Funded")/10^9</f>
        <v>0</v>
      </c>
      <c r="R128" s="108">
        <f>SUMIFS(MasterTable[Arrears + All Contractual Commitments (value next FY)],MasterTable[[Project Code and Name ]],PAProjects5[[#This Row],[LINKING_CODE]],MasterTable[Funding Source],"GoU Funded")/10^9</f>
        <v>2.7275</v>
      </c>
      <c r="S128" s="108">
        <f>SUMIFS(MasterTable[Arrears + All Contractual Commitments (value next FY)],MasterTable[[Project Code and Name ]],PAProjects5[[#This Row],[LINKING_CODE]],MasterTable[Funding Source],"External Financing")/10^9</f>
        <v>0</v>
      </c>
      <c r="T128" s="29">
        <f>PAProjects[[#This Row],[GOU 21/22]]+PAProjects[[#This Row],[DONOR 21/22]]</f>
        <v>2.7275</v>
      </c>
      <c r="U128" s="107">
        <f>SUMIFS(MasterTable[FY1 (FY22-23)],MasterTable[[Project Code and Name ]],PAProjects5[[#This Row],[LINKING_CODE]],MasterTable[Funding Source],"GoU Funded")/10^9</f>
        <v>3.56</v>
      </c>
      <c r="V128" s="52">
        <f>SUMIFS(MasterTable[FY1 (FY22-23)],MasterTable[[Project Code and Name ]],PAProjects5[[#This Row],[LINKING_CODE]],MasterTable[Funding Source],"External Financing")/10^9</f>
        <v>0</v>
      </c>
      <c r="W128" s="29">
        <f>PAProjects[[#This Row],[GOU 22/23]]+PAProjects[[#This Row],[DONOR 22/23]]</f>
        <v>3.56</v>
      </c>
      <c r="X128" s="52">
        <f>SUMIFS(MasterTable[FY2 (FY23-24)],MasterTable[[Project Code and Name ]],PAProjects5[[#This Row],[LINKING_CODE]],MasterTable[Funding Source],"GoU Funded")/10^9</f>
        <v>3.0274999999999999</v>
      </c>
      <c r="Y128" s="52">
        <f>SUMIFS(MasterTable[FY2 (FY23-24)],MasterTable[[Project Code and Name ]],PAProjects5[[#This Row],[LINKING_CODE]],MasterTable[Funding Source],"External Financing")/10^9</f>
        <v>0</v>
      </c>
      <c r="Z128" s="29">
        <f t="shared" si="9"/>
        <v>3.0274999999999999</v>
      </c>
      <c r="AA128" s="52">
        <f>SUMIFS(MasterTable[FY3 (FY24-25)],MasterTable[[Project Code and Name ]],PAProjects5[[#This Row],[LINKING_CODE]],MasterTable[Funding Source],"GoU Funded")/10^9</f>
        <v>1.923</v>
      </c>
      <c r="AB128" s="52">
        <f>SUMIFS(MasterTable[FY3 (FY24-25)],MasterTable[[Project Code and Name ]],PAProjects5[[#This Row],[LINKING_CODE]],MasterTable[Funding Source],"External Financing")/10^9</f>
        <v>0</v>
      </c>
      <c r="AC128" s="29">
        <f>PAProjects[[#This Row],[GOU 24/25]]+PAProjects[[#This Row],[DONOR 24/25]]</f>
        <v>1.923</v>
      </c>
    </row>
    <row r="129" spans="1:29" ht="15" hidden="1" customHeight="1" x14ac:dyDescent="0.25">
      <c r="A129" s="21" t="s">
        <v>129</v>
      </c>
      <c r="B129" s="2" t="s">
        <v>420</v>
      </c>
      <c r="C129" s="2" t="e">
        <f ca="1">PAProjects5[[#This Row],[LINKING_CODE]]=_xlfn.CONCAT(PAProjects5[[#This Row],[Project Code]]," ",PAProjects5[[#This Row],[Project Name]])</f>
        <v>#NAME?</v>
      </c>
      <c r="D129" s="2" t="str">
        <f>VLOOKUP(PAProjects5[[#This Row],[LINKING_CODE]],MasterTable[[Project Code and Name ]],1,FALSE)</f>
        <v>1692 Rehabilitation of Masaka Town Roads (7.3 KM)</v>
      </c>
      <c r="E129" s="2" t="s">
        <v>515</v>
      </c>
      <c r="F129" s="2" t="s">
        <v>944</v>
      </c>
      <c r="G129" s="2" t="s">
        <v>113</v>
      </c>
      <c r="H129" s="2" t="s">
        <v>1007</v>
      </c>
      <c r="I129" s="2" t="s">
        <v>1074</v>
      </c>
      <c r="J129" s="2" t="s">
        <v>1075</v>
      </c>
      <c r="K129" s="2" t="s">
        <v>1509</v>
      </c>
      <c r="L129" s="23">
        <v>44013</v>
      </c>
      <c r="M129" s="23">
        <v>45838</v>
      </c>
      <c r="N129" s="20">
        <v>38.445999999999998</v>
      </c>
      <c r="O129" s="20"/>
      <c r="P129" s="20">
        <f t="shared" si="4"/>
        <v>38.445999999999998</v>
      </c>
      <c r="Q129" s="53">
        <f>SUMIFS(MasterTable[Estimate of Arrears at end of the current FY 2020/21 (value)],MasterTable[[Project Code and Name ]],PAProjects5[[#This Row],[LINKING_CODE]],MasterTable[Funding Source],"GoU Funded")/10^9</f>
        <v>0</v>
      </c>
      <c r="R129" s="108">
        <f>SUMIFS(MasterTable[Arrears + All Contractual Commitments (value next FY)],MasterTable[[Project Code and Name ]],PAProjects5[[#This Row],[LINKING_CODE]],MasterTable[Funding Source],"GoU Funded")/10^9</f>
        <v>16</v>
      </c>
      <c r="S129" s="108">
        <f>SUMIFS(MasterTable[Arrears + All Contractual Commitments (value next FY)],MasterTable[[Project Code and Name ]],PAProjects5[[#This Row],[LINKING_CODE]],MasterTable[Funding Source],"External Financing")/10^9</f>
        <v>0</v>
      </c>
      <c r="T129" s="49">
        <f>PAProjects[[#This Row],[GOU 21/22]]+PAProjects[[#This Row],[DONOR 21/22]]</f>
        <v>16</v>
      </c>
      <c r="U129" s="107">
        <f>SUMIFS(MasterTable[FY1 (FY22-23)],MasterTable[[Project Code and Name ]],PAProjects5[[#This Row],[LINKING_CODE]],MasterTable[Funding Source],"GoU Funded")/10^9</f>
        <v>0</v>
      </c>
      <c r="V129" s="52">
        <f>SUMIFS(MasterTable[FY1 (FY22-23)],MasterTable[[Project Code and Name ]],PAProjects5[[#This Row],[LINKING_CODE]],MasterTable[Funding Source],"External Financing")/10^9</f>
        <v>0</v>
      </c>
      <c r="W129" s="49">
        <f>PAProjects[[#This Row],[GOU 22/23]]+PAProjects[[#This Row],[DONOR 22/23]]</f>
        <v>0</v>
      </c>
      <c r="X129" s="52">
        <f>SUMIFS(MasterTable[FY2 (FY23-24)],MasterTable[[Project Code and Name ]],PAProjects5[[#This Row],[LINKING_CODE]],MasterTable[Funding Source],"GoU Funded")/10^9</f>
        <v>0</v>
      </c>
      <c r="Y129" s="52">
        <f>SUMIFS(MasterTable[FY2 (FY23-24)],MasterTable[[Project Code and Name ]],PAProjects5[[#This Row],[LINKING_CODE]],MasterTable[Funding Source],"External Financing")/10^9</f>
        <v>0</v>
      </c>
      <c r="Z129" s="2">
        <f t="shared" si="9"/>
        <v>0</v>
      </c>
      <c r="AA129" s="52">
        <f>SUMIFS(MasterTable[FY3 (FY24-25)],MasterTable[[Project Code and Name ]],PAProjects5[[#This Row],[LINKING_CODE]],MasterTable[Funding Source],"GoU Funded")/10^9</f>
        <v>0</v>
      </c>
      <c r="AB129" s="52">
        <f>SUMIFS(MasterTable[FY3 (FY24-25)],MasterTable[[Project Code and Name ]],PAProjects5[[#This Row],[LINKING_CODE]],MasterTable[Funding Source],"External Financing")/10^9</f>
        <v>0</v>
      </c>
      <c r="AC129" s="29">
        <f>PAProjects[[#This Row],[GOU 24/25]]+PAProjects[[#This Row],[DONOR 24/25]]</f>
        <v>0</v>
      </c>
    </row>
    <row r="130" spans="1:29" ht="15" hidden="1" customHeight="1" x14ac:dyDescent="0.25">
      <c r="A130" s="21" t="s">
        <v>130</v>
      </c>
      <c r="B130" s="2" t="s">
        <v>421</v>
      </c>
      <c r="C130" s="2" t="e">
        <f ca="1">PAProjects5[[#This Row],[LINKING_CODE]]=_xlfn.CONCAT(PAProjects5[[#This Row],[Project Code]]," ",PAProjects5[[#This Row],[Project Name]])</f>
        <v>#NAME?</v>
      </c>
      <c r="D130" s="2" t="str">
        <f>VLOOKUP(PAProjects5[[#This Row],[LINKING_CODE]],MasterTable[[Project Code and Name ]],1,FALSE)</f>
        <v>1693 Rehabilitation of Kampala-Jinja Highway(72 KM)</v>
      </c>
      <c r="E130" s="2" t="s">
        <v>515</v>
      </c>
      <c r="F130" s="2" t="s">
        <v>944</v>
      </c>
      <c r="G130" s="2" t="s">
        <v>113</v>
      </c>
      <c r="H130" s="2" t="s">
        <v>1007</v>
      </c>
      <c r="I130" s="2" t="s">
        <v>1076</v>
      </c>
      <c r="J130" s="2" t="s">
        <v>1077</v>
      </c>
      <c r="K130" s="2" t="s">
        <v>1509</v>
      </c>
      <c r="L130" s="23">
        <v>44013</v>
      </c>
      <c r="M130" s="23">
        <v>45838</v>
      </c>
      <c r="N130" s="20">
        <v>234.5</v>
      </c>
      <c r="O130" s="20"/>
      <c r="P130" s="20">
        <f t="shared" si="4"/>
        <v>234.5</v>
      </c>
      <c r="Q130" s="53">
        <f>SUMIFS(MasterTable[Estimate of Arrears at end of the current FY 2020/21 (value)],MasterTable[[Project Code and Name ]],PAProjects5[[#This Row],[LINKING_CODE]],MasterTable[Funding Source],"GoU Funded")/10^9</f>
        <v>0</v>
      </c>
      <c r="R130" s="108">
        <f>SUMIFS(MasterTable[Arrears + All Contractual Commitments (value next FY)],MasterTable[[Project Code and Name ]],PAProjects5[[#This Row],[LINKING_CODE]],MasterTable[Funding Source],"GoU Funded")/10^9</f>
        <v>0</v>
      </c>
      <c r="S130" s="108">
        <f>SUMIFS(MasterTable[Arrears + All Contractual Commitments (value next FY)],MasterTable[[Project Code and Name ]],PAProjects5[[#This Row],[LINKING_CODE]],MasterTable[Funding Source],"External Financing")/10^9</f>
        <v>0</v>
      </c>
      <c r="T130" s="49">
        <f>PAProjects[[#This Row],[GOU 21/22]]+PAProjects[[#This Row],[DONOR 21/22]]</f>
        <v>0</v>
      </c>
      <c r="U130" s="107">
        <f>SUMIFS(MasterTable[FY1 (FY22-23)],MasterTable[[Project Code and Name ]],PAProjects5[[#This Row],[LINKING_CODE]],MasterTable[Funding Source],"GoU Funded")/10^9</f>
        <v>0</v>
      </c>
      <c r="V130" s="52">
        <f>SUMIFS(MasterTable[FY1 (FY22-23)],MasterTable[[Project Code and Name ]],PAProjects5[[#This Row],[LINKING_CODE]],MasterTable[Funding Source],"External Financing")/10^9</f>
        <v>0</v>
      </c>
      <c r="W130" s="49">
        <f>PAProjects[[#This Row],[GOU 22/23]]+PAProjects[[#This Row],[DONOR 22/23]]</f>
        <v>0</v>
      </c>
      <c r="X130" s="52">
        <f>SUMIFS(MasterTable[FY2 (FY23-24)],MasterTable[[Project Code and Name ]],PAProjects5[[#This Row],[LINKING_CODE]],MasterTable[Funding Source],"GoU Funded")/10^9</f>
        <v>0</v>
      </c>
      <c r="Y130" s="52">
        <f>SUMIFS(MasterTable[FY2 (FY23-24)],MasterTable[[Project Code and Name ]],PAProjects5[[#This Row],[LINKING_CODE]],MasterTable[Funding Source],"External Financing")/10^9</f>
        <v>0</v>
      </c>
      <c r="Z130" s="2">
        <f t="shared" si="9"/>
        <v>0</v>
      </c>
      <c r="AA130" s="52">
        <f>SUMIFS(MasterTable[FY3 (FY24-25)],MasterTable[[Project Code and Name ]],PAProjects5[[#This Row],[LINKING_CODE]],MasterTable[Funding Source],"GoU Funded")/10^9</f>
        <v>0</v>
      </c>
      <c r="AB130" s="52">
        <f>SUMIFS(MasterTable[FY3 (FY24-25)],MasterTable[[Project Code and Name ]],PAProjects5[[#This Row],[LINKING_CODE]],MasterTable[Funding Source],"External Financing")/10^9</f>
        <v>0</v>
      </c>
      <c r="AC130" s="29">
        <f>PAProjects[[#This Row],[GOU 24/25]]+PAProjects[[#This Row],[DONOR 24/25]]</f>
        <v>0</v>
      </c>
    </row>
    <row r="131" spans="1:29" ht="15" hidden="1" customHeight="1" x14ac:dyDescent="0.25">
      <c r="A131" s="21" t="s">
        <v>131</v>
      </c>
      <c r="B131" s="2" t="s">
        <v>422</v>
      </c>
      <c r="C131" s="2" t="e">
        <f ca="1">PAProjects5[[#This Row],[LINKING_CODE]]=_xlfn.CONCAT(PAProjects5[[#This Row],[Project Code]]," ",PAProjects5[[#This Row],[Project Name]])</f>
        <v>#NAME?</v>
      </c>
      <c r="D131" s="2" t="str">
        <f>VLOOKUP(PAProjects5[[#This Row],[LINKING_CODE]],MasterTable[[Project Code and Name ]],1,FALSE)</f>
        <v>1694 Rehabilitation  of Mityana-Mubende Road(100KM)</v>
      </c>
      <c r="E131" s="2" t="s">
        <v>515</v>
      </c>
      <c r="F131" s="2" t="s">
        <v>944</v>
      </c>
      <c r="G131" s="2" t="s">
        <v>113</v>
      </c>
      <c r="H131" s="2" t="s">
        <v>1007</v>
      </c>
      <c r="I131" s="2" t="s">
        <v>1078</v>
      </c>
      <c r="J131" s="2" t="s">
        <v>1079</v>
      </c>
      <c r="K131" s="2" t="s">
        <v>1509</v>
      </c>
      <c r="L131" s="23">
        <v>44013</v>
      </c>
      <c r="M131" s="23">
        <v>45838</v>
      </c>
      <c r="N131" s="20">
        <v>641.99599999999998</v>
      </c>
      <c r="O131" s="20"/>
      <c r="P131" s="20">
        <f t="shared" si="4"/>
        <v>641.99599999999998</v>
      </c>
      <c r="Q131" s="53">
        <f>SUMIFS(MasterTable[Estimate of Arrears at end of the current FY 2020/21 (value)],MasterTable[[Project Code and Name ]],PAProjects5[[#This Row],[LINKING_CODE]],MasterTable[Funding Source],"GoU Funded")/10^9</f>
        <v>0</v>
      </c>
      <c r="R131" s="108">
        <f>SUMIFS(MasterTable[Arrears + All Contractual Commitments (value next FY)],MasterTable[[Project Code and Name ]],PAProjects5[[#This Row],[LINKING_CODE]],MasterTable[Funding Source],"GoU Funded")/10^9</f>
        <v>101</v>
      </c>
      <c r="S131" s="108">
        <f>SUMIFS(MasterTable[Arrears + All Contractual Commitments (value next FY)],MasterTable[[Project Code and Name ]],PAProjects5[[#This Row],[LINKING_CODE]],MasterTable[Funding Source],"External Financing")/10^9</f>
        <v>0</v>
      </c>
      <c r="T131" s="49">
        <f>PAProjects[[#This Row],[GOU 21/22]]+PAProjects[[#This Row],[DONOR 21/22]]</f>
        <v>101</v>
      </c>
      <c r="U131" s="107">
        <f>SUMIFS(MasterTable[FY1 (FY22-23)],MasterTable[[Project Code and Name ]],PAProjects5[[#This Row],[LINKING_CODE]],MasterTable[Funding Source],"GoU Funded")/10^9</f>
        <v>101</v>
      </c>
      <c r="V131" s="52">
        <f>SUMIFS(MasterTable[FY1 (FY22-23)],MasterTable[[Project Code and Name ]],PAProjects5[[#This Row],[LINKING_CODE]],MasterTable[Funding Source],"External Financing")/10^9</f>
        <v>0</v>
      </c>
      <c r="W131" s="49">
        <f>PAProjects[[#This Row],[GOU 22/23]]+PAProjects[[#This Row],[DONOR 22/23]]</f>
        <v>101</v>
      </c>
      <c r="X131" s="52">
        <f>SUMIFS(MasterTable[FY2 (FY23-24)],MasterTable[[Project Code and Name ]],PAProjects5[[#This Row],[LINKING_CODE]],MasterTable[Funding Source],"GoU Funded")/10^9</f>
        <v>101</v>
      </c>
      <c r="Y131" s="52">
        <f>SUMIFS(MasterTable[FY2 (FY23-24)],MasterTable[[Project Code and Name ]],PAProjects5[[#This Row],[LINKING_CODE]],MasterTable[Funding Source],"External Financing")/10^9</f>
        <v>0</v>
      </c>
      <c r="Z131" s="2">
        <f t="shared" si="9"/>
        <v>101</v>
      </c>
      <c r="AA131" s="52">
        <f>SUMIFS(MasterTable[FY3 (FY24-25)],MasterTable[[Project Code and Name ]],PAProjects5[[#This Row],[LINKING_CODE]],MasterTable[Funding Source],"GoU Funded")/10^9</f>
        <v>40</v>
      </c>
      <c r="AB131" s="52">
        <f>SUMIFS(MasterTable[FY3 (FY24-25)],MasterTable[[Project Code and Name ]],PAProjects5[[#This Row],[LINKING_CODE]],MasterTable[Funding Source],"External Financing")/10^9</f>
        <v>0</v>
      </c>
      <c r="AC131" s="29">
        <f>PAProjects[[#This Row],[GOU 24/25]]+PAProjects[[#This Row],[DONOR 24/25]]</f>
        <v>40</v>
      </c>
    </row>
    <row r="132" spans="1:29" ht="15" hidden="1" customHeight="1" x14ac:dyDescent="0.25">
      <c r="A132" s="21" t="s">
        <v>132</v>
      </c>
      <c r="B132" s="2" t="s">
        <v>423</v>
      </c>
      <c r="C132" s="2" t="e">
        <f ca="1">PAProjects5[[#This Row],[LINKING_CODE]]=_xlfn.CONCAT(PAProjects5[[#This Row],[Project Code]]," ",PAProjects5[[#This Row],[Project Name]])</f>
        <v>#NAME?</v>
      </c>
      <c r="D132" s="2" t="str">
        <f>VLOOKUP(PAProjects5[[#This Row],[LINKING_CODE]],MasterTable[[Project Code and Name ]],1,FALSE)</f>
        <v>1695 Rehabilitation of Packwach-Nebbi Section 2 Road(33KM)</v>
      </c>
      <c r="E132" s="2" t="s">
        <v>515</v>
      </c>
      <c r="F132" s="2" t="s">
        <v>944</v>
      </c>
      <c r="G132" s="2" t="s">
        <v>113</v>
      </c>
      <c r="H132" s="2" t="s">
        <v>1007</v>
      </c>
      <c r="I132" s="2" t="s">
        <v>1080</v>
      </c>
      <c r="J132" s="2" t="s">
        <v>1081</v>
      </c>
      <c r="K132" s="2" t="s">
        <v>1509</v>
      </c>
      <c r="L132" s="23">
        <v>44013</v>
      </c>
      <c r="M132" s="23">
        <v>45838</v>
      </c>
      <c r="N132" s="20">
        <v>140.935</v>
      </c>
      <c r="O132" s="20"/>
      <c r="P132" s="20">
        <f t="shared" si="4"/>
        <v>140.935</v>
      </c>
      <c r="Q132" s="53">
        <f>SUMIFS(MasterTable[Estimate of Arrears at end of the current FY 2020/21 (value)],MasterTable[[Project Code and Name ]],PAProjects5[[#This Row],[LINKING_CODE]],MasterTable[Funding Source],"GoU Funded")/10^9</f>
        <v>0</v>
      </c>
      <c r="R132" s="108">
        <f>SUMIFS(MasterTable[Arrears + All Contractual Commitments (value next FY)],MasterTable[[Project Code and Name ]],PAProjects5[[#This Row],[LINKING_CODE]],MasterTable[Funding Source],"GoU Funded")/10^9</f>
        <v>0</v>
      </c>
      <c r="S132" s="108">
        <f>SUMIFS(MasterTable[Arrears + All Contractual Commitments (value next FY)],MasterTable[[Project Code and Name ]],PAProjects5[[#This Row],[LINKING_CODE]],MasterTable[Funding Source],"External Financing")/10^9</f>
        <v>0</v>
      </c>
      <c r="T132" s="49">
        <f>PAProjects[[#This Row],[GOU 21/22]]+PAProjects[[#This Row],[DONOR 21/22]]</f>
        <v>0</v>
      </c>
      <c r="U132" s="107">
        <f>SUMIFS(MasterTable[FY1 (FY22-23)],MasterTable[[Project Code and Name ]],PAProjects5[[#This Row],[LINKING_CODE]],MasterTable[Funding Source],"GoU Funded")/10^9</f>
        <v>0</v>
      </c>
      <c r="V132" s="52">
        <f>SUMIFS(MasterTable[FY1 (FY22-23)],MasterTable[[Project Code and Name ]],PAProjects5[[#This Row],[LINKING_CODE]],MasterTable[Funding Source],"External Financing")/10^9</f>
        <v>0</v>
      </c>
      <c r="W132" s="49">
        <f>PAProjects[[#This Row],[GOU 22/23]]+PAProjects[[#This Row],[DONOR 22/23]]</f>
        <v>0</v>
      </c>
      <c r="X132" s="52">
        <f>SUMIFS(MasterTable[FY2 (FY23-24)],MasterTable[[Project Code and Name ]],PAProjects5[[#This Row],[LINKING_CODE]],MasterTable[Funding Source],"GoU Funded")/10^9</f>
        <v>0</v>
      </c>
      <c r="Y132" s="52">
        <f>SUMIFS(MasterTable[FY2 (FY23-24)],MasterTable[[Project Code and Name ]],PAProjects5[[#This Row],[LINKING_CODE]],MasterTable[Funding Source],"External Financing")/10^9</f>
        <v>0</v>
      </c>
      <c r="Z132" s="2">
        <f t="shared" si="9"/>
        <v>0</v>
      </c>
      <c r="AA132" s="52">
        <f>SUMIFS(MasterTable[FY3 (FY24-25)],MasterTable[[Project Code and Name ]],PAProjects5[[#This Row],[LINKING_CODE]],MasterTable[Funding Source],"GoU Funded")/10^9</f>
        <v>0</v>
      </c>
      <c r="AB132" s="52">
        <f>SUMIFS(MasterTable[FY3 (FY24-25)],MasterTable[[Project Code and Name ]],PAProjects5[[#This Row],[LINKING_CODE]],MasterTable[Funding Source],"External Financing")/10^9</f>
        <v>0</v>
      </c>
      <c r="AC132" s="29">
        <f>PAProjects[[#This Row],[GOU 24/25]]+PAProjects[[#This Row],[DONOR 24/25]]</f>
        <v>0</v>
      </c>
    </row>
    <row r="133" spans="1:29" ht="15" customHeight="1" x14ac:dyDescent="0.25">
      <c r="A133" s="21" t="s">
        <v>295</v>
      </c>
      <c r="B133" s="21" t="s">
        <v>1495</v>
      </c>
      <c r="C133" s="21" t="e">
        <f ca="1">PAProjects5[[#This Row],[LINKING_CODE]]=_xlfn.CONCAT(PAProjects5[[#This Row],[Project Code]]," ",PAProjects5[[#This Row],[Project Name]])</f>
        <v>#NAME?</v>
      </c>
      <c r="D133" s="21" t="str">
        <f>VLOOKUP(PAProjects5[[#This Row],[LINKING_CODE]],MasterTable[[Project Code and Name ]],1,FALSE)</f>
        <v>1699 Development of Museums and Heritage Sites for Cultural Tourism (Phase II) -022</v>
      </c>
      <c r="E133" s="21" t="s">
        <v>538</v>
      </c>
      <c r="F133" s="2" t="s">
        <v>1229</v>
      </c>
      <c r="G133" s="21" t="s">
        <v>71</v>
      </c>
      <c r="H133" s="21" t="s">
        <v>1267</v>
      </c>
      <c r="I133" s="21" t="s">
        <v>1266</v>
      </c>
      <c r="J133" s="2" t="s">
        <v>1494</v>
      </c>
      <c r="K133" s="21" t="s">
        <v>1508</v>
      </c>
      <c r="L133" s="26">
        <v>44378</v>
      </c>
      <c r="M133" s="26">
        <v>46203</v>
      </c>
      <c r="N133" s="20">
        <v>44.32</v>
      </c>
      <c r="O133" s="20"/>
      <c r="P133" s="20">
        <f t="shared" si="4"/>
        <v>44.32</v>
      </c>
      <c r="Q133" s="53">
        <f>SUMIFS(MasterTable[Estimate of Arrears at end of the current FY 2020/21 (value)],MasterTable[[Project Code and Name ]],PAProjects5[[#This Row],[LINKING_CODE]],MasterTable[Funding Source],"GoU Funded")/10^9</f>
        <v>0</v>
      </c>
      <c r="R133" s="108">
        <f>SUMIFS(MasterTable[Arrears + All Contractual Commitments (value next FY)],MasterTable[[Project Code and Name ]],PAProjects5[[#This Row],[LINKING_CODE]],MasterTable[Funding Source],"GoU Funded")/10^9</f>
        <v>8.9</v>
      </c>
      <c r="S133" s="108">
        <f>SUMIFS(MasterTable[Arrears + All Contractual Commitments (value next FY)],MasterTable[[Project Code and Name ]],PAProjects5[[#This Row],[LINKING_CODE]],MasterTable[Funding Source],"External Financing")/10^9</f>
        <v>0</v>
      </c>
      <c r="T133" s="29">
        <f>PAProjects[[#This Row],[GOU 21/22]]+PAProjects[[#This Row],[DONOR 21/22]]</f>
        <v>8.9</v>
      </c>
      <c r="U133" s="107">
        <f>SUMIFS(MasterTable[FY1 (FY22-23)],MasterTable[[Project Code and Name ]],PAProjects5[[#This Row],[LINKING_CODE]],MasterTable[Funding Source],"GoU Funded")/10^9</f>
        <v>11.95</v>
      </c>
      <c r="V133" s="52">
        <f>SUMIFS(MasterTable[FY1 (FY22-23)],MasterTable[[Project Code and Name ]],PAProjects5[[#This Row],[LINKING_CODE]],MasterTable[Funding Source],"External Financing")/10^9</f>
        <v>0</v>
      </c>
      <c r="W133" s="29">
        <f>PAProjects[[#This Row],[GOU 22/23]]+PAProjects[[#This Row],[DONOR 22/23]]</f>
        <v>11.95</v>
      </c>
      <c r="X133" s="52">
        <f>SUMIFS(MasterTable[FY2 (FY23-24)],MasterTable[[Project Code and Name ]],PAProjects5[[#This Row],[LINKING_CODE]],MasterTable[Funding Source],"GoU Funded")/10^9</f>
        <v>8.65</v>
      </c>
      <c r="Y133" s="52">
        <f>SUMIFS(MasterTable[FY2 (FY23-24)],MasterTable[[Project Code and Name ]],PAProjects5[[#This Row],[LINKING_CODE]],MasterTable[Funding Source],"External Financing")/10^9</f>
        <v>0</v>
      </c>
      <c r="Z133" s="29">
        <f>SUM(X133:Y133)</f>
        <v>8.65</v>
      </c>
      <c r="AA133" s="52">
        <f>SUMIFS(MasterTable[FY3 (FY24-25)],MasterTable[[Project Code and Name ]],PAProjects5[[#This Row],[LINKING_CODE]],MasterTable[Funding Source],"GoU Funded")/10^9</f>
        <v>10.44</v>
      </c>
      <c r="AB133" s="52">
        <f>SUMIFS(MasterTable[FY3 (FY24-25)],MasterTable[[Project Code and Name ]],PAProjects5[[#This Row],[LINKING_CODE]],MasterTable[Funding Source],"External Financing")/10^9</f>
        <v>0</v>
      </c>
      <c r="AC133" s="29">
        <f>PAProjects[[#This Row],[GOU 24/25]]+PAProjects[[#This Row],[DONOR 24/25]]</f>
        <v>10.44</v>
      </c>
    </row>
    <row r="134" spans="1:29" ht="15" customHeight="1" x14ac:dyDescent="0.25">
      <c r="A134" s="21" t="s">
        <v>296</v>
      </c>
      <c r="B134" s="21" t="s">
        <v>369</v>
      </c>
      <c r="C134" s="21" t="e">
        <f ca="1">PAProjects5[[#This Row],[LINKING_CODE]]=_xlfn.CONCAT(PAProjects5[[#This Row],[Project Code]]," ",PAProjects5[[#This Row],[Project Name]])</f>
        <v>#NAME?</v>
      </c>
      <c r="D134" s="21" t="str">
        <f>VLOOKUP(PAProjects5[[#This Row],[LINKING_CODE]],MasterTable[[Project Code and Name ]],1,FALSE)</f>
        <v>1700 Mt. Rwenzori Tourism Infrastructure Development Project Phase II</v>
      </c>
      <c r="E134" s="2" t="s">
        <v>538</v>
      </c>
      <c r="F134" s="2" t="s">
        <v>1229</v>
      </c>
      <c r="G134" s="21" t="s">
        <v>71</v>
      </c>
      <c r="H134" s="21" t="s">
        <v>1267</v>
      </c>
      <c r="I134" s="21" t="s">
        <v>1268</v>
      </c>
      <c r="J134" s="2" t="s">
        <v>1269</v>
      </c>
      <c r="K134" s="21" t="s">
        <v>1508</v>
      </c>
      <c r="L134" s="26">
        <v>44378</v>
      </c>
      <c r="M134" s="26">
        <v>46203</v>
      </c>
      <c r="N134" s="20">
        <v>69.69</v>
      </c>
      <c r="O134" s="20"/>
      <c r="P134" s="20">
        <f t="shared" ref="P134:P149" si="10">SUM(N134:O134)</f>
        <v>69.69</v>
      </c>
      <c r="Q134" s="53">
        <f>SUMIFS(MasterTable[Estimate of Arrears at end of the current FY 2020/21 (value)],MasterTable[[Project Code and Name ]],PAProjects5[[#This Row],[LINKING_CODE]],MasterTable[Funding Source],"GoU Funded")/10^9</f>
        <v>0</v>
      </c>
      <c r="R134" s="108">
        <f>SUMIFS(MasterTable[Arrears + All Contractual Commitments (value next FY)],MasterTable[[Project Code and Name ]],PAProjects5[[#This Row],[LINKING_CODE]],MasterTable[Funding Source],"GoU Funded")/10^9</f>
        <v>10.93</v>
      </c>
      <c r="S134" s="108">
        <f>SUMIFS(MasterTable[Arrears + All Contractual Commitments (value next FY)],MasterTable[[Project Code and Name ]],PAProjects5[[#This Row],[LINKING_CODE]],MasterTable[Funding Source],"External Financing")/10^9</f>
        <v>0</v>
      </c>
      <c r="T134" s="29">
        <f>PAProjects[[#This Row],[GOU 21/22]]+PAProjects[[#This Row],[DONOR 21/22]]</f>
        <v>10.93</v>
      </c>
      <c r="U134" s="107">
        <f>SUMIFS(MasterTable[FY1 (FY22-23)],MasterTable[[Project Code and Name ]],PAProjects5[[#This Row],[LINKING_CODE]],MasterTable[Funding Source],"GoU Funded")/10^9</f>
        <v>14.6</v>
      </c>
      <c r="V134" s="52">
        <f>SUMIFS(MasterTable[FY1 (FY22-23)],MasterTable[[Project Code and Name ]],PAProjects5[[#This Row],[LINKING_CODE]],MasterTable[Funding Source],"External Financing")/10^9</f>
        <v>0</v>
      </c>
      <c r="W134" s="29">
        <f>PAProjects[[#This Row],[GOU 22/23]]+PAProjects[[#This Row],[DONOR 22/23]]</f>
        <v>14.6</v>
      </c>
      <c r="X134" s="52">
        <f>SUMIFS(MasterTable[FY2 (FY23-24)],MasterTable[[Project Code and Name ]],PAProjects5[[#This Row],[LINKING_CODE]],MasterTable[Funding Source],"GoU Funded")/10^9</f>
        <v>15.29</v>
      </c>
      <c r="Y134" s="52">
        <f>SUMIFS(MasterTable[FY2 (FY23-24)],MasterTable[[Project Code and Name ]],PAProjects5[[#This Row],[LINKING_CODE]],MasterTable[Funding Source],"External Financing")/10^9</f>
        <v>0</v>
      </c>
      <c r="Z134" s="29">
        <f>SUM(X134:Y134)</f>
        <v>15.29</v>
      </c>
      <c r="AA134" s="52">
        <f>SUMIFS(MasterTable[FY3 (FY24-25)],MasterTable[[Project Code and Name ]],PAProjects5[[#This Row],[LINKING_CODE]],MasterTable[Funding Source],"GoU Funded")/10^9</f>
        <v>17.39</v>
      </c>
      <c r="AB134" s="52">
        <f>SUMIFS(MasterTable[FY3 (FY24-25)],MasterTable[[Project Code and Name ]],PAProjects5[[#This Row],[LINKING_CODE]],MasterTable[Funding Source],"External Financing")/10^9</f>
        <v>0</v>
      </c>
      <c r="AC134" s="29">
        <f>PAProjects[[#This Row],[GOU 24/25]]+PAProjects[[#This Row],[DONOR 24/25]]</f>
        <v>17.39</v>
      </c>
    </row>
    <row r="135" spans="1:29" ht="15" customHeight="1" x14ac:dyDescent="0.25">
      <c r="A135" s="21" t="s">
        <v>297</v>
      </c>
      <c r="B135" s="21" t="s">
        <v>370</v>
      </c>
      <c r="C135" s="21" t="e">
        <f ca="1">PAProjects5[[#This Row],[LINKING_CODE]]=_xlfn.CONCAT(PAProjects5[[#This Row],[Project Code]]," ",PAProjects5[[#This Row],[Project Name]])</f>
        <v>#NAME?</v>
      </c>
      <c r="D135" s="21" t="str">
        <f>VLOOKUP(PAProjects5[[#This Row],[LINKING_CODE]],MasterTable[[Project Code and Name ]],1,FALSE)</f>
        <v>1701 Development of Source of the Nile Project (Phase II)</v>
      </c>
      <c r="E135" s="2" t="s">
        <v>538</v>
      </c>
      <c r="F135" s="2" t="s">
        <v>1229</v>
      </c>
      <c r="G135" s="21" t="s">
        <v>71</v>
      </c>
      <c r="H135" s="21" t="s">
        <v>1267</v>
      </c>
      <c r="I135" s="21" t="s">
        <v>1270</v>
      </c>
      <c r="J135" s="2" t="s">
        <v>1271</v>
      </c>
      <c r="K135" s="21" t="s">
        <v>1508</v>
      </c>
      <c r="L135" s="26">
        <v>44378</v>
      </c>
      <c r="M135" s="26">
        <v>46203</v>
      </c>
      <c r="N135" s="20">
        <v>90.55</v>
      </c>
      <c r="O135" s="20"/>
      <c r="P135" s="20">
        <f t="shared" si="10"/>
        <v>90.55</v>
      </c>
      <c r="Q135" s="53">
        <f>SUMIFS(MasterTable[Estimate of Arrears at end of the current FY 2020/21 (value)],MasterTable[[Project Code and Name ]],PAProjects5[[#This Row],[LINKING_CODE]],MasterTable[Funding Source],"GoU Funded")/10^9</f>
        <v>0</v>
      </c>
      <c r="R135" s="108">
        <f>SUMIFS(MasterTable[Arrears + All Contractual Commitments (value next FY)],MasterTable[[Project Code and Name ]],PAProjects5[[#This Row],[LINKING_CODE]],MasterTable[Funding Source],"GoU Funded")/10^9</f>
        <v>25.75</v>
      </c>
      <c r="S135" s="108">
        <f>SUMIFS(MasterTable[Arrears + All Contractual Commitments (value next FY)],MasterTable[[Project Code and Name ]],PAProjects5[[#This Row],[LINKING_CODE]],MasterTable[Funding Source],"External Financing")/10^9</f>
        <v>0</v>
      </c>
      <c r="T135" s="29">
        <f>PAProjects[[#This Row],[GOU 21/22]]+PAProjects[[#This Row],[DONOR 21/22]]</f>
        <v>25.75</v>
      </c>
      <c r="U135" s="107">
        <f>SUMIFS(MasterTable[FY1 (FY22-23)],MasterTable[[Project Code and Name ]],PAProjects5[[#This Row],[LINKING_CODE]],MasterTable[Funding Source],"GoU Funded")/10^9</f>
        <v>17</v>
      </c>
      <c r="V135" s="52">
        <f>SUMIFS(MasterTable[FY1 (FY22-23)],MasterTable[[Project Code and Name ]],PAProjects5[[#This Row],[LINKING_CODE]],MasterTable[Funding Source],"External Financing")/10^9</f>
        <v>0</v>
      </c>
      <c r="W135" s="29">
        <f>PAProjects[[#This Row],[GOU 22/23]]+PAProjects[[#This Row],[DONOR 22/23]]</f>
        <v>17</v>
      </c>
      <c r="X135" s="52">
        <f>SUMIFS(MasterTable[FY2 (FY23-24)],MasterTable[[Project Code and Name ]],PAProjects5[[#This Row],[LINKING_CODE]],MasterTable[Funding Source],"GoU Funded")/10^9</f>
        <v>25.3</v>
      </c>
      <c r="Y135" s="52">
        <f>SUMIFS(MasterTable[FY2 (FY23-24)],MasterTable[[Project Code and Name ]],PAProjects5[[#This Row],[LINKING_CODE]],MasterTable[Funding Source],"External Financing")/10^9</f>
        <v>0</v>
      </c>
      <c r="Z135" s="29">
        <f>SUM(X135:Y135)</f>
        <v>25.3</v>
      </c>
      <c r="AA135" s="52">
        <f>SUMIFS(MasterTable[FY3 (FY24-25)],MasterTable[[Project Code and Name ]],PAProjects5[[#This Row],[LINKING_CODE]],MasterTable[Funding Source],"GoU Funded")/10^9</f>
        <v>16.2</v>
      </c>
      <c r="AB135" s="52">
        <f>SUMIFS(MasterTable[FY3 (FY24-25)],MasterTable[[Project Code and Name ]],PAProjects5[[#This Row],[LINKING_CODE]],MasterTable[Funding Source],"External Financing")/10^9</f>
        <v>0</v>
      </c>
      <c r="AC135" s="29">
        <f>PAProjects[[#This Row],[GOU 24/25]]+PAProjects[[#This Row],[DONOR 24/25]]</f>
        <v>16.2</v>
      </c>
    </row>
    <row r="136" spans="1:29" ht="15" customHeight="1" x14ac:dyDescent="0.25">
      <c r="A136" s="21" t="s">
        <v>135</v>
      </c>
      <c r="B136" s="21" t="s">
        <v>445</v>
      </c>
      <c r="C136" s="21" t="e">
        <f ca="1">PAProjects5[[#This Row],[LINKING_CODE]]=_xlfn.CONCAT(PAProjects5[[#This Row],[Project Code]]," ",PAProjects5[[#This Row],[Project Name]])</f>
        <v>#NAME?</v>
      </c>
      <c r="D136" s="21" t="str">
        <f>VLOOKUP(PAProjects5[[#This Row],[LINKING_CODE]],MasterTable[[Project Code and Name ]],1,FALSE)</f>
        <v>1703 Rehabilitation of District Roads Project</v>
      </c>
      <c r="E136" s="2" t="s">
        <v>515</v>
      </c>
      <c r="F136" s="2" t="s">
        <v>944</v>
      </c>
      <c r="G136" s="21" t="s">
        <v>99</v>
      </c>
      <c r="H136" s="21" t="s">
        <v>1007</v>
      </c>
      <c r="I136" s="21" t="s">
        <v>1083</v>
      </c>
      <c r="J136" s="2" t="s">
        <v>1084</v>
      </c>
      <c r="K136" s="21" t="s">
        <v>1508</v>
      </c>
      <c r="L136" s="43">
        <v>44203</v>
      </c>
      <c r="M136" s="43" t="s">
        <v>1085</v>
      </c>
      <c r="N136" s="20">
        <v>572.36</v>
      </c>
      <c r="O136" s="20"/>
      <c r="P136" s="20">
        <f t="shared" si="10"/>
        <v>572.36</v>
      </c>
      <c r="Q136" s="53">
        <f>SUMIFS(MasterTable[Estimate of Arrears at end of the current FY 2020/21 (value)],MasterTable[[Project Code and Name ]],PAProjects5[[#This Row],[LINKING_CODE]],MasterTable[Funding Source],"GoU Funded")/10^9</f>
        <v>0</v>
      </c>
      <c r="R136" s="108">
        <f>SUMIFS(MasterTable[Arrears + All Contractual Commitments (value next FY)],MasterTable[[Project Code and Name ]],PAProjects5[[#This Row],[LINKING_CODE]],MasterTable[Funding Source],"GoU Funded")/10^9</f>
        <v>80.92</v>
      </c>
      <c r="S136" s="108">
        <f>SUMIFS(MasterTable[Arrears + All Contractual Commitments (value next FY)],MasterTable[[Project Code and Name ]],PAProjects5[[#This Row],[LINKING_CODE]],MasterTable[Funding Source],"External Financing")/10^9</f>
        <v>0</v>
      </c>
      <c r="T136" s="49">
        <f>PAProjects[[#This Row],[GOU 21/22]]+PAProjects[[#This Row],[DONOR 21/22]]</f>
        <v>80.92</v>
      </c>
      <c r="U136" s="107">
        <f>SUMIFS(MasterTable[FY1 (FY22-23)],MasterTable[[Project Code and Name ]],PAProjects5[[#This Row],[LINKING_CODE]],MasterTable[Funding Source],"GoU Funded")/10^9</f>
        <v>147.34</v>
      </c>
      <c r="V136" s="52">
        <f>SUMIFS(MasterTable[FY1 (FY22-23)],MasterTable[[Project Code and Name ]],PAProjects5[[#This Row],[LINKING_CODE]],MasterTable[Funding Source],"External Financing")/10^9</f>
        <v>0</v>
      </c>
      <c r="W136" s="49">
        <f>PAProjects[[#This Row],[GOU 22/23]]+PAProjects[[#This Row],[DONOR 22/23]]</f>
        <v>147.34</v>
      </c>
      <c r="X136" s="52">
        <f>SUMIFS(MasterTable[FY2 (FY23-24)],MasterTable[[Project Code and Name ]],PAProjects5[[#This Row],[LINKING_CODE]],MasterTable[Funding Source],"GoU Funded")/10^9</f>
        <v>114.99</v>
      </c>
      <c r="Y136" s="52">
        <f>SUMIFS(MasterTable[FY2 (FY23-24)],MasterTable[[Project Code and Name ]],PAProjects5[[#This Row],[LINKING_CODE]],MasterTable[Funding Source],"External Financing")/10^9</f>
        <v>0</v>
      </c>
      <c r="Z136" s="2">
        <f>X136+Y136</f>
        <v>114.99</v>
      </c>
      <c r="AA136" s="52">
        <f>SUMIFS(MasterTable[FY3 (FY24-25)],MasterTable[[Project Code and Name ]],PAProjects5[[#This Row],[LINKING_CODE]],MasterTable[Funding Source],"GoU Funded")/10^9</f>
        <v>114.99</v>
      </c>
      <c r="AB136" s="52">
        <f>SUMIFS(MasterTable[FY3 (FY24-25)],MasterTable[[Project Code and Name ]],PAProjects5[[#This Row],[LINKING_CODE]],MasterTable[Funding Source],"External Financing")/10^9</f>
        <v>0</v>
      </c>
      <c r="AC136" s="49">
        <f>PAProjects[[#This Row],[GOU 24/25]]+PAProjects[[#This Row],[DONOR 24/25]]</f>
        <v>114.99</v>
      </c>
    </row>
    <row r="137" spans="1:29" ht="15" customHeight="1" x14ac:dyDescent="0.25">
      <c r="A137" s="21" t="s">
        <v>269</v>
      </c>
      <c r="B137" s="2" t="s">
        <v>488</v>
      </c>
      <c r="C137" s="2" t="e">
        <f ca="1">PAProjects5[[#This Row],[LINKING_CODE]]=_xlfn.CONCAT(PAProjects5[[#This Row],[Project Code]]," ",PAProjects5[[#This Row],[Project Name]])</f>
        <v>#NAME?</v>
      </c>
      <c r="D137" s="2" t="str">
        <f>VLOOKUP(PAProjects5[[#This Row],[LINKING_CODE]],MasterTable[[Project Code and Name ]],1,FALSE)</f>
        <v>1704 Development of Local Government's Revenue Collection and Management Information System</v>
      </c>
      <c r="E137" s="2" t="s">
        <v>540</v>
      </c>
      <c r="F137" s="2" t="s">
        <v>931</v>
      </c>
      <c r="G137" s="2" t="s">
        <v>932</v>
      </c>
      <c r="H137" s="2" t="s">
        <v>1113</v>
      </c>
      <c r="I137" s="21" t="s">
        <v>1234</v>
      </c>
      <c r="J137" s="2" t="s">
        <v>1235</v>
      </c>
      <c r="K137" s="21" t="s">
        <v>1508</v>
      </c>
      <c r="L137" s="26">
        <v>44378</v>
      </c>
      <c r="M137" s="23">
        <v>45838</v>
      </c>
      <c r="N137" s="20"/>
      <c r="O137" s="20"/>
      <c r="P137" s="20">
        <f t="shared" si="10"/>
        <v>0</v>
      </c>
      <c r="Q137" s="53">
        <f>SUMIFS(MasterTable[Estimate of Arrears at end of the current FY 2020/21 (value)],MasterTable[[Project Code and Name ]],PAProjects5[[#This Row],[LINKING_CODE]],MasterTable[Funding Source],"GoU Funded")/10^9</f>
        <v>0</v>
      </c>
      <c r="R137" s="108">
        <f>SUMIFS(MasterTable[Arrears + All Contractual Commitments (value next FY)],MasterTable[[Project Code and Name ]],PAProjects5[[#This Row],[LINKING_CODE]],MasterTable[Funding Source],"GoU Funded")/10^9</f>
        <v>10.814693757000001</v>
      </c>
      <c r="S137" s="108">
        <f>SUMIFS(MasterTable[Arrears + All Contractual Commitments (value next FY)],MasterTable[[Project Code and Name ]],PAProjects5[[#This Row],[LINKING_CODE]],MasterTable[Funding Source],"External Financing")/10^9</f>
        <v>0</v>
      </c>
      <c r="T137" s="29">
        <f>PAProjects[[#This Row],[GOU 21/22]]+PAProjects[[#This Row],[DONOR 21/22]]</f>
        <v>10.814693757000001</v>
      </c>
      <c r="U137" s="107">
        <f>SUMIFS(MasterTable[FY1 (FY22-23)],MasterTable[[Project Code and Name ]],PAProjects5[[#This Row],[LINKING_CODE]],MasterTable[Funding Source],"GoU Funded")/10^9</f>
        <v>11.621873756999999</v>
      </c>
      <c r="V137" s="52">
        <f>SUMIFS(MasterTable[FY1 (FY22-23)],MasterTable[[Project Code and Name ]],PAProjects5[[#This Row],[LINKING_CODE]],MasterTable[Funding Source],"External Financing")/10^9</f>
        <v>0</v>
      </c>
      <c r="W137" s="29">
        <f>PAProjects[[#This Row],[GOU 22/23]]+PAProjects[[#This Row],[DONOR 22/23]]</f>
        <v>11.621873756999999</v>
      </c>
      <c r="X137" s="52">
        <f>SUMIFS(MasterTable[FY2 (FY23-24)],MasterTable[[Project Code and Name ]],PAProjects5[[#This Row],[LINKING_CODE]],MasterTable[Funding Source],"GoU Funded")/10^9</f>
        <v>12.429053757</v>
      </c>
      <c r="Y137" s="52">
        <f>SUMIFS(MasterTable[FY2 (FY23-24)],MasterTable[[Project Code and Name ]],PAProjects5[[#This Row],[LINKING_CODE]],MasterTable[Funding Source],"External Financing")/10^9</f>
        <v>0</v>
      </c>
      <c r="Z137" s="29">
        <f>SUM(X137:Y137)</f>
        <v>12.429053757</v>
      </c>
      <c r="AA137" s="52">
        <f>SUMIFS(MasterTable[FY3 (FY24-25)],MasterTable[[Project Code and Name ]],PAProjects5[[#This Row],[LINKING_CODE]],MasterTable[Funding Source],"GoU Funded")/10^9</f>
        <v>13.236233757000001</v>
      </c>
      <c r="AB137" s="52">
        <f>SUMIFS(MasterTable[FY3 (FY24-25)],MasterTable[[Project Code and Name ]],PAProjects5[[#This Row],[LINKING_CODE]],MasterTable[Funding Source],"External Financing")/10^9</f>
        <v>0</v>
      </c>
      <c r="AC137" s="29">
        <f>PAProjects[[#This Row],[GOU 24/25]]+PAProjects[[#This Row],[DONOR 24/25]]</f>
        <v>13.236233757000001</v>
      </c>
    </row>
    <row r="138" spans="1:29" ht="15" customHeight="1" x14ac:dyDescent="0.25">
      <c r="A138" s="21" t="s">
        <v>136</v>
      </c>
      <c r="B138" s="21" t="s">
        <v>447</v>
      </c>
      <c r="C138" s="21" t="e">
        <f ca="1">PAProjects5[[#This Row],[LINKING_CODE]]=_xlfn.CONCAT(PAProjects5[[#This Row],[Project Code]]," ",PAProjects5[[#This Row],[Project Name]])</f>
        <v>#NAME?</v>
      </c>
      <c r="D138" s="21" t="str">
        <f>VLOOKUP(PAProjects5[[#This Row],[LINKING_CODE]],MasterTable[[Project Code and Name ]],1,FALSE)</f>
        <v>1705 Rehabilitaion and Upgrading of Urban Roads Project</v>
      </c>
      <c r="E138" s="2" t="s">
        <v>515</v>
      </c>
      <c r="F138" s="2" t="s">
        <v>944</v>
      </c>
      <c r="G138" s="21" t="s">
        <v>99</v>
      </c>
      <c r="H138" s="21" t="s">
        <v>1007</v>
      </c>
      <c r="I138" s="21" t="s">
        <v>1086</v>
      </c>
      <c r="J138" s="2" t="s">
        <v>1087</v>
      </c>
      <c r="K138" s="21" t="s">
        <v>1508</v>
      </c>
      <c r="L138" s="43">
        <v>44203</v>
      </c>
      <c r="M138" s="43" t="s">
        <v>1085</v>
      </c>
      <c r="N138" s="20">
        <v>253.85984078105</v>
      </c>
      <c r="O138" s="20"/>
      <c r="P138" s="20">
        <f t="shared" si="10"/>
        <v>253.85984078105</v>
      </c>
      <c r="Q138" s="53">
        <f>SUMIFS(MasterTable[Estimate of Arrears at end of the current FY 2020/21 (value)],MasterTable[[Project Code and Name ]],PAProjects5[[#This Row],[LINKING_CODE]],MasterTable[Funding Source],"GoU Funded")/10^9</f>
        <v>0</v>
      </c>
      <c r="R138" s="108">
        <f>SUMIFS(MasterTable[Arrears + All Contractual Commitments (value next FY)],MasterTable[[Project Code and Name ]],PAProjects5[[#This Row],[LINKING_CODE]],MasterTable[Funding Source],"GoU Funded")/10^9</f>
        <v>14.1</v>
      </c>
      <c r="S138" s="108">
        <f>SUMIFS(MasterTable[Arrears + All Contractual Commitments (value next FY)],MasterTable[[Project Code and Name ]],PAProjects5[[#This Row],[LINKING_CODE]],MasterTable[Funding Source],"External Financing")/10^9</f>
        <v>0</v>
      </c>
      <c r="T138" s="49">
        <f>PAProjects[[#This Row],[GOU 21/22]]+PAProjects[[#This Row],[DONOR 21/22]]</f>
        <v>14.1</v>
      </c>
      <c r="U138" s="107">
        <f>SUMIFS(MasterTable[FY1 (FY22-23)],MasterTable[[Project Code and Name ]],PAProjects5[[#This Row],[LINKING_CODE]],MasterTable[Funding Source],"GoU Funded")/10^9</f>
        <v>87.443936312000005</v>
      </c>
      <c r="V138" s="52">
        <f>SUMIFS(MasterTable[FY1 (FY22-23)],MasterTable[[Project Code and Name ]],PAProjects5[[#This Row],[LINKING_CODE]],MasterTable[Funding Source],"External Financing")/10^9</f>
        <v>0</v>
      </c>
      <c r="W138" s="49">
        <f>PAProjects[[#This Row],[GOU 22/23]]+PAProjects[[#This Row],[DONOR 22/23]]</f>
        <v>87.443936312000005</v>
      </c>
      <c r="X138" s="52">
        <f>SUMIFS(MasterTable[FY2 (FY23-24)],MasterTable[[Project Code and Name ]],PAProjects5[[#This Row],[LINKING_CODE]],MasterTable[Funding Source],"GoU Funded")/10^9</f>
        <v>50.771968156</v>
      </c>
      <c r="Y138" s="52">
        <f>SUMIFS(MasterTable[FY2 (FY23-24)],MasterTable[[Project Code and Name ]],PAProjects5[[#This Row],[LINKING_CODE]],MasterTable[Funding Source],"External Financing")/10^9</f>
        <v>0</v>
      </c>
      <c r="Z138" s="2">
        <f>X138+Y138</f>
        <v>50.771968156</v>
      </c>
      <c r="AA138" s="52">
        <f>SUMIFS(MasterTable[FY3 (FY24-25)],MasterTable[[Project Code and Name ]],PAProjects5[[#This Row],[LINKING_CODE]],MasterTable[Funding Source],"GoU Funded")/10^9</f>
        <v>50.771968156</v>
      </c>
      <c r="AB138" s="52">
        <f>SUMIFS(MasterTable[FY3 (FY24-25)],MasterTable[[Project Code and Name ]],PAProjects5[[#This Row],[LINKING_CODE]],MasterTable[Funding Source],"External Financing")/10^9</f>
        <v>0</v>
      </c>
      <c r="AC138" s="49">
        <f>PAProjects[[#This Row],[GOU 24/25]]+PAProjects[[#This Row],[DONOR 24/25]]</f>
        <v>50.771968156</v>
      </c>
    </row>
    <row r="139" spans="1:29" ht="15" hidden="1" customHeight="1" x14ac:dyDescent="0.25">
      <c r="A139" s="55" t="s">
        <v>151</v>
      </c>
      <c r="B139" s="51" t="s">
        <v>1481</v>
      </c>
      <c r="C139" s="51" t="e">
        <f ca="1">PAProjects5[[#This Row],[LINKING_CODE]]=_xlfn.CONCAT(PAProjects5[[#This Row],[Project Code]]," ",PAProjects5[[#This Row],[Project Name]])</f>
        <v>#NAME?</v>
      </c>
      <c r="D139" s="51" t="e">
        <f>VLOOKUP(PAProjects5[[#This Row],[LINKING_CODE]],MasterTable[[Project Code and Name ]],1,FALSE)</f>
        <v>#N/A</v>
      </c>
      <c r="E139" s="51" t="s">
        <v>531</v>
      </c>
      <c r="F139" s="51" t="s">
        <v>940</v>
      </c>
      <c r="G139" s="51" t="s">
        <v>941</v>
      </c>
      <c r="H139" s="51" t="s">
        <v>1107</v>
      </c>
      <c r="I139" s="51" t="s">
        <v>854</v>
      </c>
      <c r="J139" s="51" t="s">
        <v>553</v>
      </c>
      <c r="K139" s="51" t="s">
        <v>1509</v>
      </c>
      <c r="L139" s="56">
        <v>41821</v>
      </c>
      <c r="M139" s="57">
        <v>44742</v>
      </c>
      <c r="N139" s="58">
        <v>8.6999999999999993</v>
      </c>
      <c r="O139" s="59">
        <v>153.73599999999999</v>
      </c>
      <c r="P139" s="48">
        <f t="shared" si="10"/>
        <v>162.43599999999998</v>
      </c>
      <c r="Q139" s="48">
        <f>SUMIFS(MasterTable[Estimate of Arrears at end of the current FY 2020/21 (value)],MasterTable[[Project Code and Name ]],PAProjects5[[#This Row],[LINKING_CODE]],MasterTable[Funding Source],"GoU Funded")/10^9</f>
        <v>0</v>
      </c>
      <c r="R139" s="51">
        <v>0.74</v>
      </c>
      <c r="S139" s="51">
        <v>23.41</v>
      </c>
      <c r="T139" s="50">
        <f>PAProjects[[#This Row],[GOU 21/22]]+PAProjects[[#This Row],[DONOR 21/22]]</f>
        <v>24.15</v>
      </c>
      <c r="U139" s="51"/>
      <c r="V139" s="51"/>
      <c r="W139" s="50">
        <f>PAProjects[[#This Row],[GOU 22/23]]+PAProjects[[#This Row],[DONOR 22/23]]</f>
        <v>0</v>
      </c>
      <c r="X139" s="51"/>
      <c r="Y139" s="51"/>
      <c r="Z139" s="51"/>
      <c r="AA139" s="51"/>
      <c r="AB139" s="51"/>
      <c r="AC139" s="50">
        <f>PAProjects[[#This Row],[GOU 24/25]]+PAProjects[[#This Row],[DONOR 24/25]]</f>
        <v>0</v>
      </c>
    </row>
    <row r="140" spans="1:29" ht="15" hidden="1" customHeight="1" x14ac:dyDescent="0.25">
      <c r="A140" s="21" t="s">
        <v>152</v>
      </c>
      <c r="B140" s="2" t="s">
        <v>1482</v>
      </c>
      <c r="C140" s="2" t="e">
        <f ca="1">PAProjects5[[#This Row],[LINKING_CODE]]=_xlfn.CONCAT(PAProjects5[[#This Row],[Project Code]]," ",PAProjects5[[#This Row],[Project Name]])</f>
        <v>#NAME?</v>
      </c>
      <c r="D140" s="2" t="e">
        <f>VLOOKUP(PAProjects5[[#This Row],[LINKING_CODE]],MasterTable[[Project Code and Name ]],1,FALSE)</f>
        <v>#N/A</v>
      </c>
      <c r="E140" s="2" t="s">
        <v>531</v>
      </c>
      <c r="F140" s="2" t="s">
        <v>940</v>
      </c>
      <c r="G140" s="2" t="s">
        <v>941</v>
      </c>
      <c r="H140" s="2" t="s">
        <v>1107</v>
      </c>
      <c r="I140" s="2" t="s">
        <v>671</v>
      </c>
      <c r="J140" s="22" t="s">
        <v>672</v>
      </c>
      <c r="K140" s="2" t="s">
        <v>1509</v>
      </c>
      <c r="L140" s="26">
        <v>42186</v>
      </c>
      <c r="M140" s="23">
        <v>44742</v>
      </c>
      <c r="N140" s="24">
        <v>5.1820000000000004</v>
      </c>
      <c r="O140" s="25">
        <v>246</v>
      </c>
      <c r="P140" s="20">
        <f t="shared" si="10"/>
        <v>251.18199999999999</v>
      </c>
      <c r="Q140" s="20">
        <f>SUMIFS(MasterTable[Estimate of Arrears at end of the current FY 2020/21 (value)],MasterTable[[Project Code and Name ]],PAProjects5[[#This Row],[LINKING_CODE]],MasterTable[Funding Source],"GoU Funded")/10^9</f>
        <v>0</v>
      </c>
      <c r="R140" s="2">
        <v>1.25</v>
      </c>
      <c r="S140" s="2">
        <v>57.57</v>
      </c>
      <c r="T140" s="49">
        <f>PAProjects[[#This Row],[GOU 21/22]]+PAProjects[[#This Row],[DONOR 21/22]]</f>
        <v>58.82</v>
      </c>
      <c r="U140" s="2"/>
      <c r="V140" s="2"/>
      <c r="W140" s="49">
        <f>PAProjects[[#This Row],[GOU 22/23]]+PAProjects[[#This Row],[DONOR 22/23]]</f>
        <v>0</v>
      </c>
      <c r="X140" s="2"/>
      <c r="Y140" s="2"/>
      <c r="Z140" s="2"/>
      <c r="AA140" s="2"/>
      <c r="AB140" s="2"/>
      <c r="AC140" s="49">
        <f>PAProjects[[#This Row],[GOU 24/25]]+PAProjects[[#This Row],[DONOR 24/25]]</f>
        <v>0</v>
      </c>
    </row>
    <row r="141" spans="1:29" ht="15" hidden="1" customHeight="1" x14ac:dyDescent="0.25">
      <c r="A141" s="21" t="s">
        <v>156</v>
      </c>
      <c r="B141" s="2" t="s">
        <v>1483</v>
      </c>
      <c r="C141" s="2" t="e">
        <f ca="1">PAProjects5[[#This Row],[LINKING_CODE]]=_xlfn.CONCAT(PAProjects5[[#This Row],[Project Code]]," ",PAProjects5[[#This Row],[Project Name]])</f>
        <v>#NAME?</v>
      </c>
      <c r="D141" s="2" t="e">
        <f>VLOOKUP(PAProjects5[[#This Row],[LINKING_CODE]],MasterTable[[Project Code and Name ]],1,FALSE)</f>
        <v>#N/A</v>
      </c>
      <c r="E141" s="2" t="s">
        <v>511</v>
      </c>
      <c r="F141" s="2" t="s">
        <v>890</v>
      </c>
      <c r="G141" s="2" t="s">
        <v>122</v>
      </c>
      <c r="H141" s="2" t="s">
        <v>1113</v>
      </c>
      <c r="I141" s="2" t="s">
        <v>1112</v>
      </c>
      <c r="J141" s="22" t="s">
        <v>849</v>
      </c>
      <c r="K141" s="2" t="str">
        <f t="shared" ref="K141:K163" si="11">IF(ISERROR(SEARCH("Retooling",J141))=FALSE,"Retooling","")</f>
        <v>Retooling</v>
      </c>
      <c r="L141" s="23">
        <v>44013</v>
      </c>
      <c r="M141" s="23">
        <v>45838</v>
      </c>
      <c r="N141" s="20">
        <v>35</v>
      </c>
      <c r="O141" s="20"/>
      <c r="P141" s="20">
        <f t="shared" si="10"/>
        <v>35</v>
      </c>
      <c r="Q141" s="20">
        <f>SUMIFS(MasterTable[Estimate of Arrears at end of the current FY 2020/21 (value)],MasterTable[[Project Code and Name ]],PAProjects5[[#This Row],[LINKING_CODE]],MasterTable[Funding Source],"GoU Funded")/10^9</f>
        <v>0</v>
      </c>
      <c r="R141" s="29">
        <f t="shared" ref="R141:R148" si="12">N141/5</f>
        <v>7</v>
      </c>
      <c r="S141" s="2"/>
      <c r="T141" s="29">
        <f>PAProjects[[#This Row],[GOU 21/22]]+PAProjects[[#This Row],[DONOR 21/22]]</f>
        <v>7</v>
      </c>
      <c r="U141" s="29">
        <f t="shared" ref="U141:U148" si="13">R141</f>
        <v>7</v>
      </c>
      <c r="V141" s="2"/>
      <c r="W141" s="29">
        <f>PAProjects[[#This Row],[GOU 22/23]]+PAProjects[[#This Row],[DONOR 22/23]]</f>
        <v>7</v>
      </c>
      <c r="X141" s="29">
        <f t="shared" ref="X141:X148" si="14">U141</f>
        <v>7</v>
      </c>
      <c r="Y141" s="2"/>
      <c r="Z141" s="29">
        <f t="shared" ref="Z141:Z146" si="15">X141+Y141</f>
        <v>7</v>
      </c>
      <c r="AA141" s="29">
        <f t="shared" ref="AA141:AA148" si="16">X141</f>
        <v>7</v>
      </c>
      <c r="AB141" s="2"/>
      <c r="AC141" s="29">
        <f>PAProjects[[#This Row],[GOU 24/25]]+PAProjects[[#This Row],[DONOR 24/25]]</f>
        <v>7</v>
      </c>
    </row>
    <row r="142" spans="1:29" ht="15" hidden="1" customHeight="1" x14ac:dyDescent="0.25">
      <c r="A142" s="21" t="s">
        <v>165</v>
      </c>
      <c r="B142" s="2" t="s">
        <v>1484</v>
      </c>
      <c r="C142" s="2" t="e">
        <f ca="1">PAProjects5[[#This Row],[LINKING_CODE]]=_xlfn.CONCAT(PAProjects5[[#This Row],[Project Code]]," ",PAProjects5[[#This Row],[Project Name]])</f>
        <v>#NAME?</v>
      </c>
      <c r="D142" s="2" t="e">
        <f>VLOOKUP(PAProjects5[[#This Row],[LINKING_CODE]],MasterTable[[Project Code and Name ]],1,FALSE)</f>
        <v>#N/A</v>
      </c>
      <c r="E142" s="2" t="s">
        <v>515</v>
      </c>
      <c r="F142" s="2" t="s">
        <v>944</v>
      </c>
      <c r="G142" s="2" t="s">
        <v>122</v>
      </c>
      <c r="H142" s="2" t="s">
        <v>1113</v>
      </c>
      <c r="I142" s="2" t="s">
        <v>1112</v>
      </c>
      <c r="J142" s="22" t="s">
        <v>849</v>
      </c>
      <c r="K142" s="2" t="str">
        <f t="shared" si="11"/>
        <v>Retooling</v>
      </c>
      <c r="L142" s="23">
        <v>44013</v>
      </c>
      <c r="M142" s="23">
        <v>45838</v>
      </c>
      <c r="N142" s="20">
        <v>35</v>
      </c>
      <c r="O142" s="20"/>
      <c r="P142" s="20">
        <f t="shared" si="10"/>
        <v>35</v>
      </c>
      <c r="Q142" s="20">
        <f>SUMIFS(MasterTable[Estimate of Arrears at end of the current FY 2020/21 (value)],MasterTable[[Project Code and Name ]],PAProjects5[[#This Row],[LINKING_CODE]],MasterTable[Funding Source],"GoU Funded")/10^9</f>
        <v>0</v>
      </c>
      <c r="R142" s="29">
        <f t="shared" si="12"/>
        <v>7</v>
      </c>
      <c r="S142" s="2"/>
      <c r="T142" s="29">
        <f>PAProjects[[#This Row],[GOU 21/22]]+PAProjects[[#This Row],[DONOR 21/22]]</f>
        <v>7</v>
      </c>
      <c r="U142" s="29">
        <f t="shared" si="13"/>
        <v>7</v>
      </c>
      <c r="V142" s="2"/>
      <c r="W142" s="29">
        <f>PAProjects[[#This Row],[GOU 22/23]]+PAProjects[[#This Row],[DONOR 22/23]]</f>
        <v>7</v>
      </c>
      <c r="X142" s="29">
        <f t="shared" si="14"/>
        <v>7</v>
      </c>
      <c r="Y142" s="2"/>
      <c r="Z142" s="29">
        <f t="shared" si="15"/>
        <v>7</v>
      </c>
      <c r="AA142" s="29">
        <f t="shared" si="16"/>
        <v>7</v>
      </c>
      <c r="AB142" s="2"/>
      <c r="AC142" s="29">
        <f>PAProjects[[#This Row],[GOU 24/25]]+PAProjects[[#This Row],[DONOR 24/25]]</f>
        <v>7</v>
      </c>
    </row>
    <row r="143" spans="1:29" ht="15" hidden="1" customHeight="1" x14ac:dyDescent="0.25">
      <c r="A143" s="21" t="s">
        <v>173</v>
      </c>
      <c r="B143" s="2" t="s">
        <v>1485</v>
      </c>
      <c r="C143" s="2" t="e">
        <f ca="1">PAProjects5[[#This Row],[LINKING_CODE]]=_xlfn.CONCAT(PAProjects5[[#This Row],[Project Code]]," ",PAProjects5[[#This Row],[Project Name]])</f>
        <v>#NAME?</v>
      </c>
      <c r="D143" s="2" t="e">
        <f>VLOOKUP(PAProjects5[[#This Row],[LINKING_CODE]],MasterTable[[Project Code and Name ]],1,FALSE)</f>
        <v>#N/A</v>
      </c>
      <c r="E143" s="2" t="s">
        <v>519</v>
      </c>
      <c r="F143" s="2" t="s">
        <v>960</v>
      </c>
      <c r="G143" s="2" t="s">
        <v>122</v>
      </c>
      <c r="H143" s="2" t="s">
        <v>1113</v>
      </c>
      <c r="I143" s="2" t="s">
        <v>1112</v>
      </c>
      <c r="J143" s="22" t="s">
        <v>849</v>
      </c>
      <c r="K143" s="2" t="str">
        <f t="shared" si="11"/>
        <v>Retooling</v>
      </c>
      <c r="L143" s="23">
        <v>44013</v>
      </c>
      <c r="M143" s="23">
        <v>45838</v>
      </c>
      <c r="N143" s="20">
        <v>6.4</v>
      </c>
      <c r="O143" s="20"/>
      <c r="P143" s="20">
        <f t="shared" si="10"/>
        <v>6.4</v>
      </c>
      <c r="Q143" s="20">
        <f>SUMIFS(MasterTable[Estimate of Arrears at end of the current FY 2020/21 (value)],MasterTable[[Project Code and Name ]],PAProjects5[[#This Row],[LINKING_CODE]],MasterTable[Funding Source],"GoU Funded")/10^9</f>
        <v>0</v>
      </c>
      <c r="R143" s="29">
        <f t="shared" si="12"/>
        <v>1.28</v>
      </c>
      <c r="S143" s="2"/>
      <c r="T143" s="29">
        <f>PAProjects[[#This Row],[GOU 21/22]]+PAProjects[[#This Row],[DONOR 21/22]]</f>
        <v>1.28</v>
      </c>
      <c r="U143" s="29">
        <f t="shared" si="13"/>
        <v>1.28</v>
      </c>
      <c r="V143" s="2"/>
      <c r="W143" s="29">
        <f>PAProjects[[#This Row],[GOU 22/23]]+PAProjects[[#This Row],[DONOR 22/23]]</f>
        <v>1.28</v>
      </c>
      <c r="X143" s="29">
        <f t="shared" si="14"/>
        <v>1.28</v>
      </c>
      <c r="Y143" s="2"/>
      <c r="Z143" s="29">
        <f t="shared" si="15"/>
        <v>1.28</v>
      </c>
      <c r="AA143" s="29">
        <f t="shared" si="16"/>
        <v>1.28</v>
      </c>
      <c r="AB143" s="2"/>
      <c r="AC143" s="29">
        <f>PAProjects[[#This Row],[GOU 24/25]]+PAProjects[[#This Row],[DONOR 24/25]]</f>
        <v>1.28</v>
      </c>
    </row>
    <row r="144" spans="1:29" ht="15" hidden="1" customHeight="1" x14ac:dyDescent="0.25">
      <c r="A144" s="21" t="s">
        <v>191</v>
      </c>
      <c r="B144" s="2" t="s">
        <v>1486</v>
      </c>
      <c r="C144" s="2" t="e">
        <f ca="1">PAProjects5[[#This Row],[LINKING_CODE]]=_xlfn.CONCAT(PAProjects5[[#This Row],[Project Code]]," ",PAProjects5[[#This Row],[Project Name]])</f>
        <v>#NAME?</v>
      </c>
      <c r="D144" s="2" t="e">
        <f>VLOOKUP(PAProjects5[[#This Row],[LINKING_CODE]],MasterTable[[Project Code and Name ]],1,FALSE)</f>
        <v>#N/A</v>
      </c>
      <c r="E144" s="2" t="s">
        <v>520</v>
      </c>
      <c r="F144" s="2" t="s">
        <v>975</v>
      </c>
      <c r="G144" s="2" t="s">
        <v>122</v>
      </c>
      <c r="H144" s="2" t="s">
        <v>1113</v>
      </c>
      <c r="I144" s="2" t="s">
        <v>1112</v>
      </c>
      <c r="J144" s="22" t="s">
        <v>849</v>
      </c>
      <c r="K144" s="2" t="str">
        <f t="shared" si="11"/>
        <v>Retooling</v>
      </c>
      <c r="L144" s="23">
        <v>44013</v>
      </c>
      <c r="M144" s="23">
        <v>44742</v>
      </c>
      <c r="N144" s="20">
        <v>6.4</v>
      </c>
      <c r="O144" s="20"/>
      <c r="P144" s="20">
        <f t="shared" si="10"/>
        <v>6.4</v>
      </c>
      <c r="Q144" s="20">
        <f>SUMIFS(MasterTable[Estimate of Arrears at end of the current FY 2020/21 (value)],MasterTable[[Project Code and Name ]],PAProjects5[[#This Row],[LINKING_CODE]],MasterTable[Funding Source],"GoU Funded")/10^9</f>
        <v>0</v>
      </c>
      <c r="R144" s="29">
        <f t="shared" si="12"/>
        <v>1.28</v>
      </c>
      <c r="S144" s="2"/>
      <c r="T144" s="29">
        <f>PAProjects[[#This Row],[GOU 21/22]]+PAProjects[[#This Row],[DONOR 21/22]]</f>
        <v>1.28</v>
      </c>
      <c r="U144" s="29">
        <f t="shared" si="13"/>
        <v>1.28</v>
      </c>
      <c r="V144" s="2"/>
      <c r="W144" s="29">
        <f>PAProjects[[#This Row],[GOU 22/23]]+PAProjects[[#This Row],[DONOR 22/23]]</f>
        <v>1.28</v>
      </c>
      <c r="X144" s="29">
        <f t="shared" si="14"/>
        <v>1.28</v>
      </c>
      <c r="Y144" s="2"/>
      <c r="Z144" s="29">
        <f t="shared" si="15"/>
        <v>1.28</v>
      </c>
      <c r="AA144" s="29">
        <f t="shared" si="16"/>
        <v>1.28</v>
      </c>
      <c r="AB144" s="2"/>
      <c r="AC144" s="29">
        <f>PAProjects[[#This Row],[GOU 24/25]]+PAProjects[[#This Row],[DONOR 24/25]]</f>
        <v>1.28</v>
      </c>
    </row>
    <row r="145" spans="1:29" ht="15" hidden="1" customHeight="1" x14ac:dyDescent="0.25">
      <c r="A145" s="21" t="s">
        <v>216</v>
      </c>
      <c r="B145" s="2" t="s">
        <v>1487</v>
      </c>
      <c r="C145" s="2" t="e">
        <f ca="1">PAProjects5[[#This Row],[LINKING_CODE]]=_xlfn.CONCAT(PAProjects5[[#This Row],[Project Code]]," ",PAProjects5[[#This Row],[Project Name]])</f>
        <v>#NAME?</v>
      </c>
      <c r="D145" s="2" t="e">
        <f>VLOOKUP(PAProjects5[[#This Row],[LINKING_CODE]],MasterTable[[Project Code and Name ]],1,FALSE)</f>
        <v>#N/A</v>
      </c>
      <c r="E145" s="2" t="s">
        <v>522</v>
      </c>
      <c r="F145" s="2" t="s">
        <v>1173</v>
      </c>
      <c r="G145" s="2" t="s">
        <v>122</v>
      </c>
      <c r="H145" s="2" t="s">
        <v>1113</v>
      </c>
      <c r="I145" s="2" t="s">
        <v>1112</v>
      </c>
      <c r="J145" s="22" t="s">
        <v>849</v>
      </c>
      <c r="K145" s="2" t="str">
        <f t="shared" si="11"/>
        <v>Retooling</v>
      </c>
      <c r="L145" s="23">
        <v>44013</v>
      </c>
      <c r="M145" s="23">
        <v>44742</v>
      </c>
      <c r="N145" s="20">
        <v>600</v>
      </c>
      <c r="O145" s="20"/>
      <c r="P145" s="20">
        <f t="shared" si="10"/>
        <v>600</v>
      </c>
      <c r="Q145" s="20">
        <f>SUMIFS(MasterTable[Estimate of Arrears at end of the current FY 2020/21 (value)],MasterTable[[Project Code and Name ]],PAProjects5[[#This Row],[LINKING_CODE]],MasterTable[Funding Source],"GoU Funded")/10^9</f>
        <v>0</v>
      </c>
      <c r="R145" s="29">
        <f t="shared" si="12"/>
        <v>120</v>
      </c>
      <c r="S145" s="2"/>
      <c r="T145" s="29">
        <f>PAProjects[[#This Row],[GOU 21/22]]+PAProjects[[#This Row],[DONOR 21/22]]</f>
        <v>120</v>
      </c>
      <c r="U145" s="29">
        <f t="shared" si="13"/>
        <v>120</v>
      </c>
      <c r="V145" s="2"/>
      <c r="W145" s="29">
        <f>PAProjects[[#This Row],[GOU 22/23]]+PAProjects[[#This Row],[DONOR 22/23]]</f>
        <v>120</v>
      </c>
      <c r="X145" s="29">
        <f t="shared" si="14"/>
        <v>120</v>
      </c>
      <c r="Y145" s="2"/>
      <c r="Z145" s="29">
        <f t="shared" si="15"/>
        <v>120</v>
      </c>
      <c r="AA145" s="29">
        <f t="shared" si="16"/>
        <v>120</v>
      </c>
      <c r="AB145" s="2"/>
      <c r="AC145" s="29">
        <f>PAProjects[[#This Row],[GOU 24/25]]+PAProjects[[#This Row],[DONOR 24/25]]</f>
        <v>120</v>
      </c>
    </row>
    <row r="146" spans="1:29" ht="15" hidden="1" customHeight="1" x14ac:dyDescent="0.25">
      <c r="A146" s="21" t="s">
        <v>220</v>
      </c>
      <c r="B146" s="2" t="s">
        <v>1488</v>
      </c>
      <c r="C146" s="2" t="e">
        <f ca="1">PAProjects5[[#This Row],[LINKING_CODE]]=_xlfn.CONCAT(PAProjects5[[#This Row],[Project Code]]," ",PAProjects5[[#This Row],[Project Name]])</f>
        <v>#NAME?</v>
      </c>
      <c r="D146" s="2" t="e">
        <f>VLOOKUP(PAProjects5[[#This Row],[LINKING_CODE]],MasterTable[[Project Code and Name ]],1,FALSE)</f>
        <v>#N/A</v>
      </c>
      <c r="E146" s="2" t="s">
        <v>524</v>
      </c>
      <c r="F146" s="2" t="s">
        <v>990</v>
      </c>
      <c r="G146" s="2" t="s">
        <v>122</v>
      </c>
      <c r="H146" s="2" t="s">
        <v>1113</v>
      </c>
      <c r="I146" s="2" t="s">
        <v>1112</v>
      </c>
      <c r="J146" s="22" t="s">
        <v>849</v>
      </c>
      <c r="K146" s="2" t="str">
        <f t="shared" si="11"/>
        <v>Retooling</v>
      </c>
      <c r="L146" s="23">
        <v>44013</v>
      </c>
      <c r="M146" s="23">
        <v>44742</v>
      </c>
      <c r="N146" s="20">
        <v>6</v>
      </c>
      <c r="O146" s="20"/>
      <c r="P146" s="20">
        <f t="shared" si="10"/>
        <v>6</v>
      </c>
      <c r="Q146" s="20">
        <f>SUMIFS(MasterTable[Estimate of Arrears at end of the current FY 2020/21 (value)],MasterTable[[Project Code and Name ]],PAProjects5[[#This Row],[LINKING_CODE]],MasterTable[Funding Source],"GoU Funded")/10^9</f>
        <v>0</v>
      </c>
      <c r="R146" s="29">
        <f t="shared" si="12"/>
        <v>1.2</v>
      </c>
      <c r="S146" s="2"/>
      <c r="T146" s="29">
        <f>PAProjects[[#This Row],[GOU 21/22]]+PAProjects[[#This Row],[DONOR 21/22]]</f>
        <v>1.2</v>
      </c>
      <c r="U146" s="29">
        <f t="shared" si="13"/>
        <v>1.2</v>
      </c>
      <c r="V146" s="2"/>
      <c r="W146" s="29">
        <f>PAProjects[[#This Row],[GOU 22/23]]+PAProjects[[#This Row],[DONOR 22/23]]</f>
        <v>1.2</v>
      </c>
      <c r="X146" s="29">
        <f t="shared" si="14"/>
        <v>1.2</v>
      </c>
      <c r="Y146" s="2"/>
      <c r="Z146" s="29">
        <f t="shared" si="15"/>
        <v>1.2</v>
      </c>
      <c r="AA146" s="29">
        <f t="shared" si="16"/>
        <v>1.2</v>
      </c>
      <c r="AB146" s="2"/>
      <c r="AC146" s="29">
        <f>PAProjects[[#This Row],[GOU 24/25]]+PAProjects[[#This Row],[DONOR 24/25]]</f>
        <v>1.2</v>
      </c>
    </row>
    <row r="147" spans="1:29" ht="15" hidden="1" customHeight="1" x14ac:dyDescent="0.25">
      <c r="A147" s="21" t="s">
        <v>244</v>
      </c>
      <c r="B147" s="2" t="s">
        <v>1489</v>
      </c>
      <c r="C147" s="2" t="e">
        <f ca="1">PAProjects5[[#This Row],[LINKING_CODE]]=_xlfn.CONCAT(PAProjects5[[#This Row],[Project Code]]," ",PAProjects5[[#This Row],[Project Name]])</f>
        <v>#NAME?</v>
      </c>
      <c r="D147" s="2" t="e">
        <f>VLOOKUP(PAProjects5[[#This Row],[LINKING_CODE]],MasterTable[[Project Code and Name ]],1,FALSE)</f>
        <v>#N/A</v>
      </c>
      <c r="E147" s="2" t="s">
        <v>529</v>
      </c>
      <c r="F147" s="2" t="s">
        <v>934</v>
      </c>
      <c r="G147" s="2" t="s">
        <v>122</v>
      </c>
      <c r="H147" s="2" t="s">
        <v>1113</v>
      </c>
      <c r="I147" s="2" t="s">
        <v>1112</v>
      </c>
      <c r="J147" s="22" t="s">
        <v>849</v>
      </c>
      <c r="K147" s="2" t="str">
        <f t="shared" si="11"/>
        <v>Retooling</v>
      </c>
      <c r="L147" s="23">
        <v>44013</v>
      </c>
      <c r="M147" s="23">
        <v>44742</v>
      </c>
      <c r="N147" s="20">
        <v>600</v>
      </c>
      <c r="O147" s="20"/>
      <c r="P147" s="20">
        <f t="shared" si="10"/>
        <v>600</v>
      </c>
      <c r="Q147" s="20">
        <f>SUMIFS(MasterTable[Estimate of Arrears at end of the current FY 2020/21 (value)],MasterTable[[Project Code and Name ]],PAProjects5[[#This Row],[LINKING_CODE]],MasterTable[Funding Source],"GoU Funded")/10^9</f>
        <v>0</v>
      </c>
      <c r="R147" s="29">
        <f t="shared" si="12"/>
        <v>120</v>
      </c>
      <c r="S147" s="2"/>
      <c r="T147" s="29">
        <f>PAProjects[[#This Row],[GOU 21/22]]+PAProjects[[#This Row],[DONOR 21/22]]</f>
        <v>120</v>
      </c>
      <c r="U147" s="29">
        <f t="shared" si="13"/>
        <v>120</v>
      </c>
      <c r="V147" s="2"/>
      <c r="W147" s="29">
        <f>PAProjects[[#This Row],[GOU 22/23]]+PAProjects[[#This Row],[DONOR 22/23]]</f>
        <v>120</v>
      </c>
      <c r="X147" s="29">
        <f t="shared" si="14"/>
        <v>120</v>
      </c>
      <c r="Y147" s="2"/>
      <c r="Z147" s="29">
        <f>SUM(X147:Y147)</f>
        <v>120</v>
      </c>
      <c r="AA147" s="29">
        <f t="shared" si="16"/>
        <v>120</v>
      </c>
      <c r="AB147" s="2"/>
      <c r="AC147" s="29">
        <f>PAProjects[[#This Row],[GOU 24/25]]+PAProjects[[#This Row],[DONOR 24/25]]</f>
        <v>120</v>
      </c>
    </row>
    <row r="148" spans="1:29" ht="15" hidden="1" customHeight="1" x14ac:dyDescent="0.25">
      <c r="A148" s="21" t="s">
        <v>250</v>
      </c>
      <c r="B148" s="2" t="s">
        <v>1490</v>
      </c>
      <c r="C148" s="2" t="e">
        <f ca="1">PAProjects5[[#This Row],[LINKING_CODE]]=_xlfn.CONCAT(PAProjects5[[#This Row],[Project Code]]," ",PAProjects5[[#This Row],[Project Name]])</f>
        <v>#NAME?</v>
      </c>
      <c r="D148" s="2" t="e">
        <f>VLOOKUP(PAProjects5[[#This Row],[LINKING_CODE]],MasterTable[[Project Code and Name ]],1,FALSE)</f>
        <v>#N/A</v>
      </c>
      <c r="E148" s="2" t="s">
        <v>531</v>
      </c>
      <c r="F148" s="2" t="s">
        <v>940</v>
      </c>
      <c r="G148" s="2" t="s">
        <v>122</v>
      </c>
      <c r="H148" s="2" t="s">
        <v>1113</v>
      </c>
      <c r="I148" s="2" t="s">
        <v>1112</v>
      </c>
      <c r="J148" s="22" t="s">
        <v>849</v>
      </c>
      <c r="K148" s="2" t="str">
        <f t="shared" si="11"/>
        <v>Retooling</v>
      </c>
      <c r="L148" s="26">
        <v>44013</v>
      </c>
      <c r="M148" s="23">
        <v>44742</v>
      </c>
      <c r="N148" s="20">
        <v>6.4</v>
      </c>
      <c r="O148" s="20"/>
      <c r="P148" s="20">
        <f t="shared" si="10"/>
        <v>6.4</v>
      </c>
      <c r="Q148" s="20">
        <f>SUMIFS(MasterTable[Estimate of Arrears at end of the current FY 2020/21 (value)],MasterTable[[Project Code and Name ]],PAProjects5[[#This Row],[LINKING_CODE]],MasterTable[Funding Source],"GoU Funded")/10^9</f>
        <v>0</v>
      </c>
      <c r="R148" s="29">
        <f t="shared" si="12"/>
        <v>1.28</v>
      </c>
      <c r="S148" s="2"/>
      <c r="T148" s="29">
        <f>PAProjects[[#This Row],[GOU 21/22]]+PAProjects[[#This Row],[DONOR 21/22]]</f>
        <v>1.28</v>
      </c>
      <c r="U148" s="29">
        <f t="shared" si="13"/>
        <v>1.28</v>
      </c>
      <c r="V148" s="2"/>
      <c r="W148" s="29">
        <f>PAProjects[[#This Row],[GOU 22/23]]+PAProjects[[#This Row],[DONOR 22/23]]</f>
        <v>1.28</v>
      </c>
      <c r="X148" s="29">
        <f t="shared" si="14"/>
        <v>1.28</v>
      </c>
      <c r="Y148" s="2"/>
      <c r="Z148" s="29">
        <f>SUM(X148:Y148)</f>
        <v>1.28</v>
      </c>
      <c r="AA148" s="29">
        <f t="shared" si="16"/>
        <v>1.28</v>
      </c>
      <c r="AB148" s="2"/>
      <c r="AC148" s="29">
        <f>PAProjects[[#This Row],[GOU 24/25]]+PAProjects[[#This Row],[DONOR 24/25]]</f>
        <v>1.28</v>
      </c>
    </row>
    <row r="149" spans="1:29" ht="15" hidden="1" customHeight="1" x14ac:dyDescent="0.25">
      <c r="A149" s="21" t="s">
        <v>534</v>
      </c>
      <c r="B149" s="2" t="s">
        <v>1298</v>
      </c>
      <c r="C149" s="2" t="e">
        <f ca="1">PAProjects5[[#This Row],[LINKING_CODE]]=_xlfn.CONCAT(PAProjects5[[#This Row],[Project Code]]," ",PAProjects5[[#This Row],[Project Name]])</f>
        <v>#NAME?</v>
      </c>
      <c r="D149" s="2" t="e">
        <f>VLOOKUP(PAProjects5[[#This Row],[LINKING_CODE]],MasterTable[[Project Code and Name ]],1,FALSE)</f>
        <v>#N/A</v>
      </c>
      <c r="E149" s="2" t="s">
        <v>511</v>
      </c>
      <c r="F149" s="2" t="s">
        <v>890</v>
      </c>
      <c r="G149" s="2" t="s">
        <v>891</v>
      </c>
      <c r="H149" s="2" t="s">
        <v>928</v>
      </c>
      <c r="I149" s="2" t="s">
        <v>775</v>
      </c>
      <c r="J149" s="2" t="s">
        <v>915</v>
      </c>
      <c r="K149" s="2" t="s">
        <v>1509</v>
      </c>
      <c r="L149" s="23">
        <v>43282</v>
      </c>
      <c r="M149" s="23">
        <v>45107</v>
      </c>
      <c r="N149" s="28">
        <v>61.308999999999997</v>
      </c>
      <c r="O149" s="28">
        <v>88.427000000000007</v>
      </c>
      <c r="P149" s="20">
        <f t="shared" si="10"/>
        <v>149.73599999999999</v>
      </c>
      <c r="Q149" s="20">
        <f>SUMIFS(MasterTable[Estimate of Arrears at end of the current FY 2020/21 (value)],MasterTable[[Project Code and Name ]],PAProjects5[[#This Row],[LINKING_CODE]],MasterTable[Funding Source],"GoU Funded")/10^9</f>
        <v>0</v>
      </c>
      <c r="R149" s="2"/>
      <c r="S149" s="2"/>
      <c r="T149" s="49">
        <f>PAProjects[[#This Row],[GOU 21/22]]+PAProjects[[#This Row],[DONOR 21/22]]</f>
        <v>0</v>
      </c>
      <c r="U149" s="2"/>
      <c r="V149" s="2"/>
      <c r="W149" s="49">
        <f>PAProjects[[#This Row],[GOU 22/23]]+PAProjects[[#This Row],[DONOR 22/23]]</f>
        <v>0</v>
      </c>
      <c r="X149" s="2"/>
      <c r="Y149" s="2"/>
      <c r="Z149" s="2"/>
      <c r="AA149" s="2"/>
      <c r="AB149" s="2"/>
      <c r="AC149" s="49">
        <f>PAProjects[[#This Row],[GOU 24/25]]+PAProjects[[#This Row],[DONOR 24/25]]</f>
        <v>0</v>
      </c>
    </row>
    <row r="150" spans="1:29" ht="15" customHeight="1" x14ac:dyDescent="0.25">
      <c r="A150" s="21" t="s">
        <v>544</v>
      </c>
      <c r="B150" s="2" t="s">
        <v>1299</v>
      </c>
      <c r="C150" s="2" t="e">
        <f ca="1">PAProjects5[[#This Row],[LINKING_CODE]]=_xlfn.CONCAT(PAProjects5[[#This Row],[Project Code]]," ",PAProjects5[[#This Row],[Project Name]])</f>
        <v>#NAME?</v>
      </c>
      <c r="D150" s="2" t="e">
        <f>VLOOKUP(PAProjects5[[#This Row],[LINKING_CODE]],MasterTable[[Project Code and Name ]],1,FALSE)</f>
        <v>#N/A</v>
      </c>
      <c r="E150" s="2" t="s">
        <v>511</v>
      </c>
      <c r="F150" s="2" t="s">
        <v>890</v>
      </c>
      <c r="G150" s="2" t="s">
        <v>891</v>
      </c>
      <c r="H150" s="2" t="s">
        <v>928</v>
      </c>
      <c r="I150" s="21" t="s">
        <v>1925</v>
      </c>
      <c r="J150" s="2" t="s">
        <v>926</v>
      </c>
      <c r="K150" s="21" t="s">
        <v>1508</v>
      </c>
      <c r="L150" s="23">
        <v>44378</v>
      </c>
      <c r="M150" s="23">
        <v>46203</v>
      </c>
      <c r="N150" s="20">
        <v>6</v>
      </c>
      <c r="O150" s="20"/>
      <c r="P150" s="20">
        <f>SUM(N150:N150)</f>
        <v>6</v>
      </c>
      <c r="Q150" s="20">
        <f>SUMIFS(MasterTable[Estimate of Arrears at end of the current FY 2020/21 (value)],MasterTable[[Project Code and Name ]],PAProjects5[[#This Row],[LINKING_CODE]],MasterTable[Funding Source],"GoU Funded")/10^9</f>
        <v>0</v>
      </c>
      <c r="R150" s="2">
        <v>1.2</v>
      </c>
      <c r="S150" s="2"/>
      <c r="T150" s="49">
        <f>PAProjects[[#This Row],[GOU 21/22]]+PAProjects[[#This Row],[DONOR 21/22]]</f>
        <v>1.2</v>
      </c>
      <c r="U150" s="2">
        <v>1.2</v>
      </c>
      <c r="V150" s="2"/>
      <c r="W150" s="49">
        <f>PAProjects[[#This Row],[GOU 22/23]]+PAProjects[[#This Row],[DONOR 22/23]]</f>
        <v>1.2</v>
      </c>
      <c r="X150" s="2">
        <v>1.2</v>
      </c>
      <c r="Y150" s="2"/>
      <c r="Z150" s="2">
        <f t="shared" ref="Z150:Z162" si="17">X150+Y150</f>
        <v>1.2</v>
      </c>
      <c r="AA150" s="2">
        <v>1.2</v>
      </c>
      <c r="AB150" s="2"/>
      <c r="AC150" s="49">
        <f>PAProjects[[#This Row],[GOU 24/25]]+PAProjects[[#This Row],[DONOR 24/25]]</f>
        <v>1.2</v>
      </c>
    </row>
    <row r="151" spans="1:29" ht="15" hidden="1" customHeight="1" x14ac:dyDescent="0.25">
      <c r="A151" s="21" t="s">
        <v>651</v>
      </c>
      <c r="B151" s="2" t="s">
        <v>1300</v>
      </c>
      <c r="C151" s="2" t="e">
        <f ca="1">PAProjects5[[#This Row],[LINKING_CODE]]=_xlfn.CONCAT(PAProjects5[[#This Row],[Project Code]]," ",PAProjects5[[#This Row],[Project Name]])</f>
        <v>#NAME?</v>
      </c>
      <c r="D151" s="2" t="e">
        <f>VLOOKUP(PAProjects5[[#This Row],[LINKING_CODE]],MasterTable[[Project Code and Name ]],1,FALSE)</f>
        <v>#N/A</v>
      </c>
      <c r="E151" s="2" t="s">
        <v>520</v>
      </c>
      <c r="F151" s="2" t="s">
        <v>975</v>
      </c>
      <c r="G151" s="2" t="s">
        <v>163</v>
      </c>
      <c r="H151" s="2" t="s">
        <v>962</v>
      </c>
      <c r="I151" s="2" t="s">
        <v>331</v>
      </c>
      <c r="J151" s="2" t="s">
        <v>716</v>
      </c>
      <c r="K151" s="2" t="s">
        <v>1509</v>
      </c>
      <c r="L151" s="23">
        <v>41456</v>
      </c>
      <c r="M151" s="23">
        <v>44742</v>
      </c>
      <c r="N151" s="24">
        <v>12.513</v>
      </c>
      <c r="O151" s="25">
        <v>13.627000000000001</v>
      </c>
      <c r="P151" s="20">
        <f t="shared" ref="P151:P210" si="18">SUM(N151:O151)</f>
        <v>26.14</v>
      </c>
      <c r="Q151" s="20">
        <f>SUMIFS(MasterTable[Estimate of Arrears at end of the current FY 2020/21 (value)],MasterTable[[Project Code and Name ]],PAProjects5[[#This Row],[LINKING_CODE]],MasterTable[Funding Source],"GoU Funded")/10^9</f>
        <v>0</v>
      </c>
      <c r="R151" s="2">
        <v>0.6</v>
      </c>
      <c r="S151" s="2"/>
      <c r="T151" s="49">
        <f>PAProjects[[#This Row],[GOU 21/22]]+PAProjects[[#This Row],[DONOR 21/22]]</f>
        <v>0.6</v>
      </c>
      <c r="U151" s="2"/>
      <c r="V151" s="2"/>
      <c r="W151" s="49">
        <f>PAProjects[[#This Row],[GOU 22/23]]+PAProjects[[#This Row],[DONOR 22/23]]</f>
        <v>0</v>
      </c>
      <c r="X151" s="2"/>
      <c r="Y151" s="2"/>
      <c r="Z151" s="2">
        <f t="shared" si="17"/>
        <v>0</v>
      </c>
      <c r="AA151" s="2"/>
      <c r="AB151" s="2"/>
      <c r="AC151" s="49">
        <f>PAProjects[[#This Row],[GOU 24/25]]+PAProjects[[#This Row],[DONOR 24/25]]</f>
        <v>0</v>
      </c>
    </row>
    <row r="152" spans="1:29" ht="15" hidden="1" customHeight="1" x14ac:dyDescent="0.25">
      <c r="A152" s="21" t="s">
        <v>653</v>
      </c>
      <c r="B152" s="2" t="s">
        <v>1301</v>
      </c>
      <c r="C152" s="2" t="e">
        <f ca="1">PAProjects5[[#This Row],[LINKING_CODE]]=_xlfn.CONCAT(PAProjects5[[#This Row],[Project Code]]," ",PAProjects5[[#This Row],[Project Name]])</f>
        <v>#NAME?</v>
      </c>
      <c r="D152" s="2" t="e">
        <f>VLOOKUP(PAProjects5[[#This Row],[LINKING_CODE]],MasterTable[[Project Code and Name ]],1,FALSE)</f>
        <v>#N/A</v>
      </c>
      <c r="E152" s="2" t="s">
        <v>520</v>
      </c>
      <c r="F152" s="2" t="s">
        <v>975</v>
      </c>
      <c r="G152" s="2" t="s">
        <v>164</v>
      </c>
      <c r="H152" s="2" t="s">
        <v>962</v>
      </c>
      <c r="I152" s="2" t="s">
        <v>331</v>
      </c>
      <c r="J152" s="2" t="s">
        <v>717</v>
      </c>
      <c r="K152" s="2" t="s">
        <v>1509</v>
      </c>
      <c r="L152" s="23">
        <v>41457</v>
      </c>
      <c r="M152" s="23">
        <v>44742</v>
      </c>
      <c r="N152" s="24">
        <v>5.8</v>
      </c>
      <c r="O152" s="20"/>
      <c r="P152" s="20">
        <f t="shared" si="18"/>
        <v>5.8</v>
      </c>
      <c r="Q152" s="20">
        <f>SUMIFS(MasterTable[Estimate of Arrears at end of the current FY 2020/21 (value)],MasterTable[[Project Code and Name ]],PAProjects5[[#This Row],[LINKING_CODE]],MasterTable[Funding Source],"GoU Funded")/10^9</f>
        <v>0</v>
      </c>
      <c r="R152" s="2">
        <v>0.57999999999999996</v>
      </c>
      <c r="S152" s="2"/>
      <c r="T152" s="49">
        <f>PAProjects[[#This Row],[GOU 21/22]]+PAProjects[[#This Row],[DONOR 21/22]]</f>
        <v>0.57999999999999996</v>
      </c>
      <c r="U152" s="2"/>
      <c r="V152" s="2"/>
      <c r="W152" s="49">
        <f>PAProjects[[#This Row],[GOU 22/23]]+PAProjects[[#This Row],[DONOR 22/23]]</f>
        <v>0</v>
      </c>
      <c r="X152" s="2"/>
      <c r="Y152" s="2"/>
      <c r="Z152" s="2">
        <f t="shared" si="17"/>
        <v>0</v>
      </c>
      <c r="AA152" s="2"/>
      <c r="AB152" s="2"/>
      <c r="AC152" s="49">
        <f>PAProjects[[#This Row],[GOU 24/25]]+PAProjects[[#This Row],[DONOR 24/25]]</f>
        <v>0</v>
      </c>
    </row>
    <row r="153" spans="1:29" ht="15" hidden="1" customHeight="1" x14ac:dyDescent="0.25">
      <c r="A153" s="21" t="s">
        <v>655</v>
      </c>
      <c r="B153" s="2" t="s">
        <v>1302</v>
      </c>
      <c r="C153" s="2" t="e">
        <f ca="1">PAProjects5[[#This Row],[LINKING_CODE]]=_xlfn.CONCAT(PAProjects5[[#This Row],[Project Code]]," ",PAProjects5[[#This Row],[Project Name]])</f>
        <v>#NAME?</v>
      </c>
      <c r="D153" s="2" t="e">
        <f>VLOOKUP(PAProjects5[[#This Row],[LINKING_CODE]],MasterTable[[Project Code and Name ]],1,FALSE)</f>
        <v>#N/A</v>
      </c>
      <c r="E153" s="2" t="s">
        <v>520</v>
      </c>
      <c r="F153" s="2" t="s">
        <v>975</v>
      </c>
      <c r="G153" s="2" t="s">
        <v>165</v>
      </c>
      <c r="H153" s="2" t="s">
        <v>962</v>
      </c>
      <c r="I153" s="2" t="s">
        <v>331</v>
      </c>
      <c r="J153" s="2" t="s">
        <v>718</v>
      </c>
      <c r="K153" s="2" t="s">
        <v>1509</v>
      </c>
      <c r="L153" s="23">
        <v>41456</v>
      </c>
      <c r="M153" s="23">
        <v>44742</v>
      </c>
      <c r="N153" s="24">
        <v>16.149999999999999</v>
      </c>
      <c r="O153" s="20"/>
      <c r="P153" s="20">
        <f t="shared" si="18"/>
        <v>16.149999999999999</v>
      </c>
      <c r="Q153" s="20">
        <f>SUMIFS(MasterTable[Estimate of Arrears at end of the current FY 2020/21 (value)],MasterTable[[Project Code and Name ]],PAProjects5[[#This Row],[LINKING_CODE]],MasterTable[Funding Source],"GoU Funded")/10^9</f>
        <v>0</v>
      </c>
      <c r="R153" s="2">
        <v>1.7</v>
      </c>
      <c r="S153" s="2"/>
      <c r="T153" s="49">
        <f>PAProjects[[#This Row],[GOU 21/22]]+PAProjects[[#This Row],[DONOR 21/22]]</f>
        <v>1.7</v>
      </c>
      <c r="U153" s="2"/>
      <c r="V153" s="2"/>
      <c r="W153" s="49">
        <f>PAProjects[[#This Row],[GOU 22/23]]+PAProjects[[#This Row],[DONOR 22/23]]</f>
        <v>0</v>
      </c>
      <c r="X153" s="2"/>
      <c r="Y153" s="2"/>
      <c r="Z153" s="2">
        <f t="shared" si="17"/>
        <v>0</v>
      </c>
      <c r="AA153" s="2"/>
      <c r="AB153" s="2"/>
      <c r="AC153" s="49">
        <f>PAProjects[[#This Row],[GOU 24/25]]+PAProjects[[#This Row],[DONOR 24/25]]</f>
        <v>0</v>
      </c>
    </row>
    <row r="154" spans="1:29" ht="15" hidden="1" customHeight="1" x14ac:dyDescent="0.25">
      <c r="A154" s="21" t="s">
        <v>657</v>
      </c>
      <c r="B154" s="2" t="s">
        <v>1303</v>
      </c>
      <c r="C154" s="2" t="e">
        <f ca="1">PAProjects5[[#This Row],[LINKING_CODE]]=_xlfn.CONCAT(PAProjects5[[#This Row],[Project Code]]," ",PAProjects5[[#This Row],[Project Name]])</f>
        <v>#NAME?</v>
      </c>
      <c r="D154" s="2" t="e">
        <f>VLOOKUP(PAProjects5[[#This Row],[LINKING_CODE]],MasterTable[[Project Code and Name ]],1,FALSE)</f>
        <v>#N/A</v>
      </c>
      <c r="E154" s="2" t="s">
        <v>520</v>
      </c>
      <c r="F154" s="2" t="s">
        <v>975</v>
      </c>
      <c r="G154" s="2" t="s">
        <v>167</v>
      </c>
      <c r="H154" s="2" t="s">
        <v>962</v>
      </c>
      <c r="I154" s="2" t="s">
        <v>331</v>
      </c>
      <c r="J154" s="2" t="s">
        <v>719</v>
      </c>
      <c r="K154" s="2" t="s">
        <v>1509</v>
      </c>
      <c r="L154" s="23">
        <v>40360</v>
      </c>
      <c r="M154" s="23">
        <v>44742</v>
      </c>
      <c r="N154" s="24">
        <v>6.3659999999999997</v>
      </c>
      <c r="O154" s="20"/>
      <c r="P154" s="20">
        <f t="shared" si="18"/>
        <v>6.3659999999999997</v>
      </c>
      <c r="Q154" s="20">
        <f>SUMIFS(MasterTable[Estimate of Arrears at end of the current FY 2020/21 (value)],MasterTable[[Project Code and Name ]],PAProjects5[[#This Row],[LINKING_CODE]],MasterTable[Funding Source],"GoU Funded")/10^9</f>
        <v>0</v>
      </c>
      <c r="R154" s="2">
        <v>1.7</v>
      </c>
      <c r="S154" s="2"/>
      <c r="T154" s="49">
        <f>PAProjects[[#This Row],[GOU 21/22]]+PAProjects[[#This Row],[DONOR 21/22]]</f>
        <v>1.7</v>
      </c>
      <c r="U154" s="2"/>
      <c r="V154" s="2"/>
      <c r="W154" s="49">
        <f>PAProjects[[#This Row],[GOU 22/23]]+PAProjects[[#This Row],[DONOR 22/23]]</f>
        <v>0</v>
      </c>
      <c r="X154" s="2"/>
      <c r="Y154" s="2"/>
      <c r="Z154" s="2">
        <f t="shared" si="17"/>
        <v>0</v>
      </c>
      <c r="AA154" s="2"/>
      <c r="AB154" s="2"/>
      <c r="AC154" s="49">
        <f>PAProjects[[#This Row],[GOU 24/25]]+PAProjects[[#This Row],[DONOR 24/25]]</f>
        <v>0</v>
      </c>
    </row>
    <row r="155" spans="1:29" ht="15" hidden="1" customHeight="1" x14ac:dyDescent="0.25">
      <c r="A155" s="21" t="s">
        <v>979</v>
      </c>
      <c r="B155" s="2" t="s">
        <v>1304</v>
      </c>
      <c r="C155" s="2" t="e">
        <f ca="1">PAProjects5[[#This Row],[LINKING_CODE]]=_xlfn.CONCAT(PAProjects5[[#This Row],[Project Code]]," ",PAProjects5[[#This Row],[Project Name]])</f>
        <v>#NAME?</v>
      </c>
      <c r="D155" s="2" t="e">
        <f>VLOOKUP(PAProjects5[[#This Row],[LINKING_CODE]],MasterTable[[Project Code and Name ]],1,FALSE)</f>
        <v>#N/A</v>
      </c>
      <c r="E155" s="2" t="s">
        <v>520</v>
      </c>
      <c r="F155" s="2" t="s">
        <v>975</v>
      </c>
      <c r="G155" s="2" t="s">
        <v>168</v>
      </c>
      <c r="H155" s="2" t="s">
        <v>962</v>
      </c>
      <c r="I155" s="2" t="s">
        <v>331</v>
      </c>
      <c r="J155" s="2" t="s">
        <v>720</v>
      </c>
      <c r="K155" s="2" t="s">
        <v>1509</v>
      </c>
      <c r="L155" s="23">
        <v>39630</v>
      </c>
      <c r="M155" s="23">
        <v>44742</v>
      </c>
      <c r="N155" s="24">
        <v>15.45</v>
      </c>
      <c r="O155" s="20"/>
      <c r="P155" s="20">
        <f t="shared" si="18"/>
        <v>15.45</v>
      </c>
      <c r="Q155" s="20">
        <f>SUMIFS(MasterTable[Estimate of Arrears at end of the current FY 2020/21 (value)],MasterTable[[Project Code and Name ]],PAProjects5[[#This Row],[LINKING_CODE]],MasterTable[Funding Source],"GoU Funded")/10^9</f>
        <v>0</v>
      </c>
      <c r="R155" s="2">
        <v>1.7</v>
      </c>
      <c r="S155" s="2"/>
      <c r="T155" s="49">
        <f>PAProjects[[#This Row],[GOU 21/22]]+PAProjects[[#This Row],[DONOR 21/22]]</f>
        <v>1.7</v>
      </c>
      <c r="U155" s="2"/>
      <c r="V155" s="2"/>
      <c r="W155" s="49">
        <f>PAProjects[[#This Row],[GOU 22/23]]+PAProjects[[#This Row],[DONOR 22/23]]</f>
        <v>0</v>
      </c>
      <c r="X155" s="2"/>
      <c r="Y155" s="2"/>
      <c r="Z155" s="2">
        <f t="shared" si="17"/>
        <v>0</v>
      </c>
      <c r="AA155" s="2"/>
      <c r="AB155" s="2"/>
      <c r="AC155" s="49">
        <f>PAProjects[[#This Row],[GOU 24/25]]+PAProjects[[#This Row],[DONOR 24/25]]</f>
        <v>0</v>
      </c>
    </row>
    <row r="156" spans="1:29" ht="15" hidden="1" customHeight="1" x14ac:dyDescent="0.25">
      <c r="A156" s="21" t="s">
        <v>980</v>
      </c>
      <c r="B156" s="2" t="s">
        <v>1305</v>
      </c>
      <c r="C156" s="2" t="e">
        <f ca="1">PAProjects5[[#This Row],[LINKING_CODE]]=_xlfn.CONCAT(PAProjects5[[#This Row],[Project Code]]," ",PAProjects5[[#This Row],[Project Name]])</f>
        <v>#NAME?</v>
      </c>
      <c r="D156" s="2" t="e">
        <f>VLOOKUP(PAProjects5[[#This Row],[LINKING_CODE]],MasterTable[[Project Code and Name ]],1,FALSE)</f>
        <v>#N/A</v>
      </c>
      <c r="E156" s="2" t="s">
        <v>520</v>
      </c>
      <c r="F156" s="2" t="s">
        <v>975</v>
      </c>
      <c r="G156" s="2" t="s">
        <v>169</v>
      </c>
      <c r="H156" s="2" t="s">
        <v>962</v>
      </c>
      <c r="I156" s="2" t="s">
        <v>331</v>
      </c>
      <c r="J156" s="2" t="s">
        <v>721</v>
      </c>
      <c r="K156" s="2" t="s">
        <v>1509</v>
      </c>
      <c r="L156" s="23">
        <v>39630</v>
      </c>
      <c r="M156" s="23">
        <v>44742</v>
      </c>
      <c r="N156" s="24">
        <v>36.646999999999998</v>
      </c>
      <c r="O156" s="20"/>
      <c r="P156" s="20">
        <f t="shared" si="18"/>
        <v>36.646999999999998</v>
      </c>
      <c r="Q156" s="20">
        <f>SUMIFS(MasterTable[Estimate of Arrears at end of the current FY 2020/21 (value)],MasterTable[[Project Code and Name ]],PAProjects5[[#This Row],[LINKING_CODE]],MasterTable[Funding Source],"GoU Funded")/10^9</f>
        <v>0</v>
      </c>
      <c r="R156" s="2">
        <v>1.7</v>
      </c>
      <c r="S156" s="2"/>
      <c r="T156" s="49">
        <f>PAProjects[[#This Row],[GOU 21/22]]+PAProjects[[#This Row],[DONOR 21/22]]</f>
        <v>1.7</v>
      </c>
      <c r="U156" s="2"/>
      <c r="V156" s="2"/>
      <c r="W156" s="49">
        <f>PAProjects[[#This Row],[GOU 22/23]]+PAProjects[[#This Row],[DONOR 22/23]]</f>
        <v>0</v>
      </c>
      <c r="X156" s="2"/>
      <c r="Y156" s="2"/>
      <c r="Z156" s="2">
        <f t="shared" si="17"/>
        <v>0</v>
      </c>
      <c r="AA156" s="2"/>
      <c r="AB156" s="2"/>
      <c r="AC156" s="49">
        <f>PAProjects[[#This Row],[GOU 24/25]]+PAProjects[[#This Row],[DONOR 24/25]]</f>
        <v>0</v>
      </c>
    </row>
    <row r="157" spans="1:29" ht="15" hidden="1" customHeight="1" x14ac:dyDescent="0.25">
      <c r="A157" s="21" t="s">
        <v>981</v>
      </c>
      <c r="B157" s="2" t="s">
        <v>1306</v>
      </c>
      <c r="C157" s="2" t="e">
        <f ca="1">PAProjects5[[#This Row],[LINKING_CODE]]=_xlfn.CONCAT(PAProjects5[[#This Row],[Project Code]]," ",PAProjects5[[#This Row],[Project Name]])</f>
        <v>#NAME?</v>
      </c>
      <c r="D157" s="2" t="e">
        <f>VLOOKUP(PAProjects5[[#This Row],[LINKING_CODE]],MasterTable[[Project Code and Name ]],1,FALSE)</f>
        <v>#N/A</v>
      </c>
      <c r="E157" s="2" t="s">
        <v>520</v>
      </c>
      <c r="F157" s="2" t="s">
        <v>975</v>
      </c>
      <c r="G157" s="2" t="s">
        <v>170</v>
      </c>
      <c r="H157" s="2" t="s">
        <v>962</v>
      </c>
      <c r="I157" s="2" t="s">
        <v>331</v>
      </c>
      <c r="J157" s="2" t="s">
        <v>722</v>
      </c>
      <c r="K157" s="2" t="s">
        <v>1509</v>
      </c>
      <c r="L157" s="23">
        <v>39264</v>
      </c>
      <c r="M157" s="23">
        <v>44742</v>
      </c>
      <c r="N157" s="24">
        <v>22</v>
      </c>
      <c r="O157" s="20"/>
      <c r="P157" s="20">
        <f t="shared" si="18"/>
        <v>22</v>
      </c>
      <c r="Q157" s="20">
        <f>SUMIFS(MasterTable[Estimate of Arrears at end of the current FY 2020/21 (value)],MasterTable[[Project Code and Name ]],PAProjects5[[#This Row],[LINKING_CODE]],MasterTable[Funding Source],"GoU Funded")/10^9</f>
        <v>0</v>
      </c>
      <c r="R157" s="2">
        <v>1.7</v>
      </c>
      <c r="S157" s="2"/>
      <c r="T157" s="49">
        <f>PAProjects[[#This Row],[GOU 21/22]]+PAProjects[[#This Row],[DONOR 21/22]]</f>
        <v>1.7</v>
      </c>
      <c r="U157" s="2"/>
      <c r="V157" s="2"/>
      <c r="W157" s="49">
        <f>PAProjects[[#This Row],[GOU 22/23]]+PAProjects[[#This Row],[DONOR 22/23]]</f>
        <v>0</v>
      </c>
      <c r="X157" s="2"/>
      <c r="Y157" s="2"/>
      <c r="Z157" s="2">
        <f t="shared" si="17"/>
        <v>0</v>
      </c>
      <c r="AA157" s="2"/>
      <c r="AB157" s="2"/>
      <c r="AC157" s="49">
        <f>PAProjects[[#This Row],[GOU 24/25]]+PAProjects[[#This Row],[DONOR 24/25]]</f>
        <v>0</v>
      </c>
    </row>
    <row r="158" spans="1:29" ht="15" hidden="1" customHeight="1" x14ac:dyDescent="0.25">
      <c r="A158" s="21" t="s">
        <v>982</v>
      </c>
      <c r="B158" s="2" t="s">
        <v>1307</v>
      </c>
      <c r="C158" s="2" t="e">
        <f ca="1">PAProjects5[[#This Row],[LINKING_CODE]]=_xlfn.CONCAT(PAProjects5[[#This Row],[Project Code]]," ",PAProjects5[[#This Row],[Project Name]])</f>
        <v>#NAME?</v>
      </c>
      <c r="D158" s="2" t="e">
        <f>VLOOKUP(PAProjects5[[#This Row],[LINKING_CODE]],MasterTable[[Project Code and Name ]],1,FALSE)</f>
        <v>#N/A</v>
      </c>
      <c r="E158" s="2" t="s">
        <v>520</v>
      </c>
      <c r="F158" s="2" t="s">
        <v>975</v>
      </c>
      <c r="G158" s="2" t="s">
        <v>172</v>
      </c>
      <c r="H158" s="2" t="s">
        <v>962</v>
      </c>
      <c r="I158" s="2" t="s">
        <v>331</v>
      </c>
      <c r="J158" s="2" t="s">
        <v>723</v>
      </c>
      <c r="K158" s="2" t="s">
        <v>1509</v>
      </c>
      <c r="L158" s="23">
        <v>39630</v>
      </c>
      <c r="M158" s="23">
        <v>44742</v>
      </c>
      <c r="N158" s="24">
        <v>18.559999999999999</v>
      </c>
      <c r="O158" s="20"/>
      <c r="P158" s="20">
        <f t="shared" si="18"/>
        <v>18.559999999999999</v>
      </c>
      <c r="Q158" s="20">
        <f>SUMIFS(MasterTable[Estimate of Arrears at end of the current FY 2020/21 (value)],MasterTable[[Project Code and Name ]],PAProjects5[[#This Row],[LINKING_CODE]],MasterTable[Funding Source],"GoU Funded")/10^9</f>
        <v>0</v>
      </c>
      <c r="R158" s="2">
        <v>1.7</v>
      </c>
      <c r="S158" s="2"/>
      <c r="T158" s="49">
        <f>PAProjects[[#This Row],[GOU 21/22]]+PAProjects[[#This Row],[DONOR 21/22]]</f>
        <v>1.7</v>
      </c>
      <c r="U158" s="2"/>
      <c r="V158" s="2"/>
      <c r="W158" s="49">
        <f>PAProjects[[#This Row],[GOU 22/23]]+PAProjects[[#This Row],[DONOR 22/23]]</f>
        <v>0</v>
      </c>
      <c r="X158" s="2"/>
      <c r="Y158" s="2"/>
      <c r="Z158" s="2">
        <f t="shared" si="17"/>
        <v>0</v>
      </c>
      <c r="AA158" s="2"/>
      <c r="AB158" s="2"/>
      <c r="AC158" s="49">
        <f>PAProjects[[#This Row],[GOU 24/25]]+PAProjects[[#This Row],[DONOR 24/25]]</f>
        <v>0</v>
      </c>
    </row>
    <row r="159" spans="1:29" ht="15" hidden="1" customHeight="1" x14ac:dyDescent="0.25">
      <c r="A159" s="21" t="s">
        <v>983</v>
      </c>
      <c r="B159" s="2" t="s">
        <v>1308</v>
      </c>
      <c r="C159" s="2" t="e">
        <f ca="1">PAProjects5[[#This Row],[LINKING_CODE]]=_xlfn.CONCAT(PAProjects5[[#This Row],[Project Code]]," ",PAProjects5[[#This Row],[Project Name]])</f>
        <v>#NAME?</v>
      </c>
      <c r="D159" s="2" t="e">
        <f>VLOOKUP(PAProjects5[[#This Row],[LINKING_CODE]],MasterTable[[Project Code and Name ]],1,FALSE)</f>
        <v>#N/A</v>
      </c>
      <c r="E159" s="2" t="s">
        <v>520</v>
      </c>
      <c r="F159" s="2" t="s">
        <v>975</v>
      </c>
      <c r="G159" s="2" t="s">
        <v>173</v>
      </c>
      <c r="H159" s="2" t="s">
        <v>962</v>
      </c>
      <c r="I159" s="2" t="s">
        <v>331</v>
      </c>
      <c r="J159" s="2" t="s">
        <v>724</v>
      </c>
      <c r="K159" s="2" t="s">
        <v>1509</v>
      </c>
      <c r="L159" s="23">
        <v>39630</v>
      </c>
      <c r="M159" s="23">
        <v>44742</v>
      </c>
      <c r="N159" s="24">
        <v>50.078000000000003</v>
      </c>
      <c r="O159" s="20"/>
      <c r="P159" s="20">
        <f t="shared" si="18"/>
        <v>50.078000000000003</v>
      </c>
      <c r="Q159" s="20">
        <f>SUMIFS(MasterTable[Estimate of Arrears at end of the current FY 2020/21 (value)],MasterTable[[Project Code and Name ]],PAProjects5[[#This Row],[LINKING_CODE]],MasterTable[Funding Source],"GoU Funded")/10^9</f>
        <v>0</v>
      </c>
      <c r="R159" s="2">
        <v>1.7</v>
      </c>
      <c r="S159" s="2"/>
      <c r="T159" s="49">
        <f>PAProjects[[#This Row],[GOU 21/22]]+PAProjects[[#This Row],[DONOR 21/22]]</f>
        <v>1.7</v>
      </c>
      <c r="U159" s="2"/>
      <c r="V159" s="2"/>
      <c r="W159" s="49">
        <f>PAProjects[[#This Row],[GOU 22/23]]+PAProjects[[#This Row],[DONOR 22/23]]</f>
        <v>0</v>
      </c>
      <c r="X159" s="2"/>
      <c r="Y159" s="2"/>
      <c r="Z159" s="2">
        <f t="shared" si="17"/>
        <v>0</v>
      </c>
      <c r="AA159" s="2"/>
      <c r="AB159" s="2"/>
      <c r="AC159" s="49">
        <f>PAProjects[[#This Row],[GOU 24/25]]+PAProjects[[#This Row],[DONOR 24/25]]</f>
        <v>0</v>
      </c>
    </row>
    <row r="160" spans="1:29" ht="15" hidden="1" customHeight="1" x14ac:dyDescent="0.25">
      <c r="A160" s="21" t="s">
        <v>984</v>
      </c>
      <c r="B160" s="2" t="s">
        <v>1309</v>
      </c>
      <c r="C160" s="2" t="e">
        <f ca="1">PAProjects5[[#This Row],[LINKING_CODE]]=_xlfn.CONCAT(PAProjects5[[#This Row],[Project Code]]," ",PAProjects5[[#This Row],[Project Name]])</f>
        <v>#NAME?</v>
      </c>
      <c r="D160" s="2" t="e">
        <f>VLOOKUP(PAProjects5[[#This Row],[LINKING_CODE]],MasterTable[[Project Code and Name ]],1,FALSE)</f>
        <v>#N/A</v>
      </c>
      <c r="E160" s="2" t="s">
        <v>520</v>
      </c>
      <c r="F160" s="2" t="s">
        <v>975</v>
      </c>
      <c r="G160" s="2" t="s">
        <v>174</v>
      </c>
      <c r="H160" s="2" t="s">
        <v>962</v>
      </c>
      <c r="I160" s="2" t="s">
        <v>331</v>
      </c>
      <c r="J160" s="2" t="s">
        <v>725</v>
      </c>
      <c r="K160" s="2" t="s">
        <v>1509</v>
      </c>
      <c r="L160" s="23">
        <v>39995</v>
      </c>
      <c r="M160" s="23">
        <v>44742</v>
      </c>
      <c r="N160" s="24">
        <v>16.989999999999998</v>
      </c>
      <c r="O160" s="20"/>
      <c r="P160" s="20">
        <f t="shared" si="18"/>
        <v>16.989999999999998</v>
      </c>
      <c r="Q160" s="20">
        <f>SUMIFS(MasterTable[Estimate of Arrears at end of the current FY 2020/21 (value)],MasterTable[[Project Code and Name ]],PAProjects5[[#This Row],[LINKING_CODE]],MasterTable[Funding Source],"GoU Funded")/10^9</f>
        <v>0</v>
      </c>
      <c r="R160" s="2">
        <v>2.5499999999999998</v>
      </c>
      <c r="S160" s="2"/>
      <c r="T160" s="49">
        <f>PAProjects[[#This Row],[GOU 21/22]]+PAProjects[[#This Row],[DONOR 21/22]]</f>
        <v>2.5499999999999998</v>
      </c>
      <c r="U160" s="2"/>
      <c r="V160" s="2"/>
      <c r="W160" s="49">
        <f>PAProjects[[#This Row],[GOU 22/23]]+PAProjects[[#This Row],[DONOR 22/23]]</f>
        <v>0</v>
      </c>
      <c r="X160" s="2"/>
      <c r="Y160" s="2"/>
      <c r="Z160" s="2">
        <f t="shared" si="17"/>
        <v>0</v>
      </c>
      <c r="AA160" s="2"/>
      <c r="AB160" s="2"/>
      <c r="AC160" s="49">
        <f>PAProjects[[#This Row],[GOU 24/25]]+PAProjects[[#This Row],[DONOR 24/25]]</f>
        <v>0</v>
      </c>
    </row>
    <row r="161" spans="1:29" ht="15" hidden="1" customHeight="1" x14ac:dyDescent="0.25">
      <c r="A161" s="21" t="s">
        <v>985</v>
      </c>
      <c r="B161" s="2" t="s">
        <v>1310</v>
      </c>
      <c r="C161" s="2" t="e">
        <f ca="1">PAProjects5[[#This Row],[LINKING_CODE]]=_xlfn.CONCAT(PAProjects5[[#This Row],[Project Code]]," ",PAProjects5[[#This Row],[Project Name]])</f>
        <v>#NAME?</v>
      </c>
      <c r="D161" s="2" t="e">
        <f>VLOOKUP(PAProjects5[[#This Row],[LINKING_CODE]],MasterTable[[Project Code and Name ]],1,FALSE)</f>
        <v>#N/A</v>
      </c>
      <c r="E161" s="2" t="s">
        <v>520</v>
      </c>
      <c r="F161" s="2" t="s">
        <v>975</v>
      </c>
      <c r="G161" s="2" t="s">
        <v>175</v>
      </c>
      <c r="H161" s="2" t="s">
        <v>962</v>
      </c>
      <c r="I161" s="2" t="s">
        <v>331</v>
      </c>
      <c r="J161" s="2" t="s">
        <v>726</v>
      </c>
      <c r="K161" s="2" t="s">
        <v>1509</v>
      </c>
      <c r="L161" s="23">
        <v>40360</v>
      </c>
      <c r="M161" s="23">
        <v>44742</v>
      </c>
      <c r="N161" s="24">
        <v>31.690999999999999</v>
      </c>
      <c r="O161" s="20"/>
      <c r="P161" s="20">
        <f t="shared" si="18"/>
        <v>31.690999999999999</v>
      </c>
      <c r="Q161" s="20">
        <f>SUMIFS(MasterTable[Estimate of Arrears at end of the current FY 2020/21 (value)],MasterTable[[Project Code and Name ]],PAProjects5[[#This Row],[LINKING_CODE]],MasterTable[Funding Source],"GoU Funded")/10^9</f>
        <v>0</v>
      </c>
      <c r="R161" s="2"/>
      <c r="S161" s="2"/>
      <c r="T161" s="49">
        <f>PAProjects[[#This Row],[GOU 21/22]]+PAProjects[[#This Row],[DONOR 21/22]]</f>
        <v>0</v>
      </c>
      <c r="U161" s="2"/>
      <c r="V161" s="2"/>
      <c r="W161" s="49">
        <f>PAProjects[[#This Row],[GOU 22/23]]+PAProjects[[#This Row],[DONOR 22/23]]</f>
        <v>0</v>
      </c>
      <c r="X161" s="2"/>
      <c r="Y161" s="2"/>
      <c r="Z161" s="2">
        <f t="shared" si="17"/>
        <v>0</v>
      </c>
      <c r="AA161" s="2"/>
      <c r="AB161" s="2"/>
      <c r="AC161" s="49">
        <f>PAProjects[[#This Row],[GOU 24/25]]+PAProjects[[#This Row],[DONOR 24/25]]</f>
        <v>0</v>
      </c>
    </row>
    <row r="162" spans="1:29" ht="15" hidden="1" customHeight="1" x14ac:dyDescent="0.25">
      <c r="A162" s="21" t="s">
        <v>986</v>
      </c>
      <c r="B162" s="2" t="s">
        <v>1311</v>
      </c>
      <c r="C162" s="2" t="e">
        <f ca="1">PAProjects5[[#This Row],[LINKING_CODE]]=_xlfn.CONCAT(PAProjects5[[#This Row],[Project Code]]," ",PAProjects5[[#This Row],[Project Name]])</f>
        <v>#NAME?</v>
      </c>
      <c r="D162" s="2" t="e">
        <f>VLOOKUP(PAProjects5[[#This Row],[LINKING_CODE]],MasterTable[[Project Code and Name ]],1,FALSE)</f>
        <v>#N/A</v>
      </c>
      <c r="E162" s="2" t="s">
        <v>520</v>
      </c>
      <c r="F162" s="2" t="s">
        <v>975</v>
      </c>
      <c r="G162" s="2" t="s">
        <v>176</v>
      </c>
      <c r="H162" s="2" t="s">
        <v>962</v>
      </c>
      <c r="I162" s="2" t="s">
        <v>331</v>
      </c>
      <c r="J162" s="2" t="s">
        <v>727</v>
      </c>
      <c r="K162" s="2" t="s">
        <v>1509</v>
      </c>
      <c r="L162" s="23">
        <v>41456</v>
      </c>
      <c r="M162" s="23">
        <v>44742</v>
      </c>
      <c r="N162" s="24">
        <v>5.84</v>
      </c>
      <c r="O162" s="20"/>
      <c r="P162" s="20">
        <f t="shared" si="18"/>
        <v>5.84</v>
      </c>
      <c r="Q162" s="20">
        <f>SUMIFS(MasterTable[Estimate of Arrears at end of the current FY 2020/21 (value)],MasterTable[[Project Code and Name ]],PAProjects5[[#This Row],[LINKING_CODE]],MasterTable[Funding Source],"GoU Funded")/10^9</f>
        <v>0</v>
      </c>
      <c r="R162" s="2">
        <v>0.98</v>
      </c>
      <c r="S162" s="2"/>
      <c r="T162" s="49">
        <f>PAProjects[[#This Row],[GOU 21/22]]+PAProjects[[#This Row],[DONOR 21/22]]</f>
        <v>0.98</v>
      </c>
      <c r="U162" s="2"/>
      <c r="V162" s="2"/>
      <c r="W162" s="49">
        <f>PAProjects[[#This Row],[GOU 22/23]]+PAProjects[[#This Row],[DONOR 22/23]]</f>
        <v>0</v>
      </c>
      <c r="X162" s="2"/>
      <c r="Y162" s="2"/>
      <c r="Z162" s="2">
        <f t="shared" si="17"/>
        <v>0</v>
      </c>
      <c r="AA162" s="2"/>
      <c r="AB162" s="2"/>
      <c r="AC162" s="49">
        <f>PAProjects[[#This Row],[GOU 24/25]]+PAProjects[[#This Row],[DONOR 24/25]]</f>
        <v>0</v>
      </c>
    </row>
    <row r="163" spans="1:29" ht="15" hidden="1" customHeight="1" x14ac:dyDescent="0.25">
      <c r="A163" s="32" t="s">
        <v>258</v>
      </c>
      <c r="B163" s="22" t="s">
        <v>1312</v>
      </c>
      <c r="C163" s="22" t="e">
        <f ca="1">PAProjects5[[#This Row],[LINKING_CODE]]=_xlfn.CONCAT(PAProjects5[[#This Row],[Project Code]]," ",PAProjects5[[#This Row],[Project Name]])</f>
        <v>#NAME?</v>
      </c>
      <c r="D163" s="22" t="e">
        <f>VLOOKUP(PAProjects5[[#This Row],[LINKING_CODE]],MasterTable[[Project Code and Name ]],1,FALSE)</f>
        <v>#N/A</v>
      </c>
      <c r="E163" s="22" t="s">
        <v>533</v>
      </c>
      <c r="F163" s="22" t="s">
        <v>1216</v>
      </c>
      <c r="G163" s="22" t="s">
        <v>104</v>
      </c>
      <c r="H163" s="22" t="s">
        <v>1113</v>
      </c>
      <c r="I163" s="32" t="s">
        <v>925</v>
      </c>
      <c r="J163" s="22" t="s">
        <v>1217</v>
      </c>
      <c r="K163" s="22" t="str">
        <f t="shared" si="11"/>
        <v>Retooling</v>
      </c>
      <c r="L163" s="23">
        <v>44013</v>
      </c>
      <c r="M163" s="23">
        <v>45838</v>
      </c>
      <c r="N163" s="28"/>
      <c r="O163" s="28"/>
      <c r="P163" s="28">
        <f t="shared" si="18"/>
        <v>0</v>
      </c>
      <c r="Q163" s="28">
        <f>SUMIFS(MasterTable[Estimate of Arrears at end of the current FY 2020/21 (value)],MasterTable[[Project Code and Name ]],PAProjects5[[#This Row],[LINKING_CODE]],MasterTable[Funding Source],"GoU Funded")/10^9</f>
        <v>0</v>
      </c>
      <c r="R163" s="33">
        <f>N163/5</f>
        <v>0</v>
      </c>
      <c r="S163" s="22"/>
      <c r="T163" s="33">
        <f>PAProjects[[#This Row],[GOU 21/22]]+PAProjects[[#This Row],[DONOR 21/22]]</f>
        <v>62.866999999999997</v>
      </c>
      <c r="U163" s="33">
        <f>R163</f>
        <v>0</v>
      </c>
      <c r="V163" s="22"/>
      <c r="W163" s="33">
        <f>PAProjects[[#This Row],[GOU 22/23]]+PAProjects[[#This Row],[DONOR 22/23]]</f>
        <v>92.5</v>
      </c>
      <c r="X163" s="33">
        <f>U163</f>
        <v>0</v>
      </c>
      <c r="Y163" s="22"/>
      <c r="Z163" s="33">
        <f>SUM(X163:Y163)</f>
        <v>0</v>
      </c>
      <c r="AA163" s="33">
        <f>X163</f>
        <v>0</v>
      </c>
      <c r="AB163" s="22"/>
      <c r="AC163" s="33">
        <f>PAProjects[[#This Row],[GOU 24/25]]+PAProjects[[#This Row],[DONOR 24/25]]</f>
        <v>59.47</v>
      </c>
    </row>
    <row r="164" spans="1:29" ht="15" hidden="1" customHeight="1" x14ac:dyDescent="0.25">
      <c r="A164" s="21" t="s">
        <v>310</v>
      </c>
      <c r="B164" s="2" t="s">
        <v>1313</v>
      </c>
      <c r="C164" s="2" t="e">
        <f ca="1">PAProjects5[[#This Row],[LINKING_CODE]]=_xlfn.CONCAT(PAProjects5[[#This Row],[Project Code]]," ",PAProjects5[[#This Row],[Project Name]])</f>
        <v>#NAME?</v>
      </c>
      <c r="D164" s="2" t="e">
        <f>VLOOKUP(PAProjects5[[#This Row],[LINKING_CODE]],MasterTable[[Project Code and Name ]],1,FALSE)</f>
        <v>#N/A</v>
      </c>
      <c r="E164" s="2" t="s">
        <v>522</v>
      </c>
      <c r="F164" s="2" t="s">
        <v>1173</v>
      </c>
      <c r="G164" s="2" t="s">
        <v>68</v>
      </c>
      <c r="H164" s="2" t="s">
        <v>1272</v>
      </c>
      <c r="I164" s="2" t="s">
        <v>775</v>
      </c>
      <c r="J164" s="2" t="s">
        <v>776</v>
      </c>
      <c r="K164" s="2" t="s">
        <v>1509</v>
      </c>
      <c r="L164" s="23">
        <v>43282</v>
      </c>
      <c r="M164" s="23">
        <v>44742</v>
      </c>
      <c r="N164" s="24">
        <v>61.308999999999997</v>
      </c>
      <c r="O164" s="25">
        <v>88.427000000000007</v>
      </c>
      <c r="P164" s="20">
        <f t="shared" si="18"/>
        <v>149.73599999999999</v>
      </c>
      <c r="Q164" s="20">
        <f>SUMIFS(MasterTable[Estimate of Arrears at end of the current FY 2020/21 (value)],MasterTable[[Project Code and Name ]],PAProjects5[[#This Row],[LINKING_CODE]],MasterTable[Funding Source],"GoU Funded")/10^9</f>
        <v>0</v>
      </c>
      <c r="R164" s="2">
        <v>4.067554436</v>
      </c>
      <c r="S164" s="2"/>
      <c r="T164" s="49">
        <f>PAProjects[[#This Row],[GOU 21/22]]+PAProjects[[#This Row],[DONOR 21/22]]</f>
        <v>4.067554436</v>
      </c>
      <c r="U164" s="2"/>
      <c r="V164" s="2"/>
      <c r="W164" s="49">
        <f>PAProjects[[#This Row],[GOU 22/23]]+PAProjects[[#This Row],[DONOR 22/23]]</f>
        <v>0</v>
      </c>
      <c r="X164" s="2"/>
      <c r="Y164" s="2"/>
      <c r="Z164" s="2">
        <f>X164+Y164</f>
        <v>0</v>
      </c>
      <c r="AA164" s="2"/>
      <c r="AB164" s="2"/>
      <c r="AC164" s="49">
        <f>PAProjects[[#This Row],[GOU 24/25]]+PAProjects[[#This Row],[DONOR 24/25]]</f>
        <v>0</v>
      </c>
    </row>
    <row r="165" spans="1:29" ht="15" hidden="1" customHeight="1" x14ac:dyDescent="0.25">
      <c r="A165" s="21" t="s">
        <v>810</v>
      </c>
      <c r="B165" s="2" t="s">
        <v>1314</v>
      </c>
      <c r="C165" s="2" t="e">
        <f ca="1">PAProjects5[[#This Row],[LINKING_CODE]]=_xlfn.CONCAT(PAProjects5[[#This Row],[Project Code]]," ",PAProjects5[[#This Row],[Project Name]])</f>
        <v>#NAME?</v>
      </c>
      <c r="D165" s="2" t="e">
        <f>VLOOKUP(PAProjects5[[#This Row],[LINKING_CODE]],MasterTable[[Project Code and Name ]],1,FALSE)</f>
        <v>#N/A</v>
      </c>
      <c r="E165" s="2" t="s">
        <v>511</v>
      </c>
      <c r="F165" s="2" t="s">
        <v>890</v>
      </c>
      <c r="G165" s="2" t="s">
        <v>891</v>
      </c>
      <c r="H165" s="2" t="s">
        <v>928</v>
      </c>
      <c r="I165" s="2" t="s">
        <v>892</v>
      </c>
      <c r="J165" s="2" t="s">
        <v>514</v>
      </c>
      <c r="K165" s="2" t="s">
        <v>1509</v>
      </c>
      <c r="L165" s="23">
        <v>41456</v>
      </c>
      <c r="M165" s="23">
        <v>44742</v>
      </c>
      <c r="N165" s="20">
        <v>0.3</v>
      </c>
      <c r="O165" s="20">
        <v>441.8</v>
      </c>
      <c r="P165" s="20">
        <f t="shared" si="18"/>
        <v>442.1</v>
      </c>
      <c r="Q165" s="20">
        <f>SUMIFS(MasterTable[Estimate of Arrears at end of the current FY 2020/21 (value)],MasterTable[[Project Code and Name ]],PAProjects5[[#This Row],[LINKING_CODE]],MasterTable[Funding Source],"GoU Funded")/10^9</f>
        <v>0</v>
      </c>
      <c r="R165" s="2">
        <v>0.61</v>
      </c>
      <c r="S165" s="2">
        <v>296.26</v>
      </c>
      <c r="T165" s="49">
        <f>PAProjects[[#This Row],[GOU 21/22]]+PAProjects[[#This Row],[DONOR 21/22]]</f>
        <v>296.87</v>
      </c>
      <c r="U165" s="2"/>
      <c r="V165" s="2"/>
      <c r="W165" s="49">
        <f>PAProjects[[#This Row],[GOU 22/23]]+PAProjects[[#This Row],[DONOR 22/23]]</f>
        <v>0</v>
      </c>
      <c r="X165" s="2"/>
      <c r="Y165" s="2"/>
      <c r="Z165" s="2"/>
      <c r="AA165" s="2"/>
      <c r="AB165" s="2"/>
      <c r="AC165" s="49">
        <f>PAProjects[[#This Row],[GOU 24/25]]+PAProjects[[#This Row],[DONOR 24/25]]</f>
        <v>0</v>
      </c>
    </row>
    <row r="166" spans="1:29" ht="15" hidden="1" customHeight="1" x14ac:dyDescent="0.25">
      <c r="A166" s="21" t="s">
        <v>813</v>
      </c>
      <c r="B166" s="2" t="s">
        <v>1315</v>
      </c>
      <c r="C166" s="2" t="e">
        <f ca="1">PAProjects5[[#This Row],[LINKING_CODE]]=_xlfn.CONCAT(PAProjects5[[#This Row],[Project Code]]," ",PAProjects5[[#This Row],[Project Name]])</f>
        <v>#NAME?</v>
      </c>
      <c r="D166" s="2" t="e">
        <f>VLOOKUP(PAProjects5[[#This Row],[LINKING_CODE]],MasterTable[[Project Code and Name ]],1,FALSE)</f>
        <v>#N/A</v>
      </c>
      <c r="E166" s="2" t="s">
        <v>511</v>
      </c>
      <c r="F166" s="2" t="s">
        <v>890</v>
      </c>
      <c r="G166" s="2" t="s">
        <v>891</v>
      </c>
      <c r="H166" s="2" t="s">
        <v>928</v>
      </c>
      <c r="I166" s="2" t="s">
        <v>893</v>
      </c>
      <c r="J166" s="2" t="s">
        <v>536</v>
      </c>
      <c r="K166" s="2" t="s">
        <v>1509</v>
      </c>
      <c r="L166" s="23">
        <v>41821</v>
      </c>
      <c r="M166" s="23">
        <v>44742</v>
      </c>
      <c r="N166" s="20">
        <v>45.1</v>
      </c>
      <c r="O166" s="20">
        <v>80.02</v>
      </c>
      <c r="P166" s="20">
        <f t="shared" si="18"/>
        <v>125.12</v>
      </c>
      <c r="Q166" s="20">
        <f>SUMIFS(MasterTable[Estimate of Arrears at end of the current FY 2020/21 (value)],MasterTable[[Project Code and Name ]],PAProjects5[[#This Row],[LINKING_CODE]],MasterTable[Funding Source],"GoU Funded")/10^9</f>
        <v>0</v>
      </c>
      <c r="R166" s="2">
        <v>0.75</v>
      </c>
      <c r="S166" s="2">
        <v>40.299999999999997</v>
      </c>
      <c r="T166" s="49">
        <f>PAProjects[[#This Row],[GOU 21/22]]+PAProjects[[#This Row],[DONOR 21/22]]</f>
        <v>41.05</v>
      </c>
      <c r="U166" s="2"/>
      <c r="V166" s="2"/>
      <c r="W166" s="49">
        <f>PAProjects[[#This Row],[GOU 22/23]]+PAProjects[[#This Row],[DONOR 22/23]]</f>
        <v>0</v>
      </c>
      <c r="X166" s="2"/>
      <c r="Y166" s="2"/>
      <c r="Z166" s="2"/>
      <c r="AA166" s="2"/>
      <c r="AB166" s="2"/>
      <c r="AC166" s="49">
        <f>PAProjects[[#This Row],[GOU 24/25]]+PAProjects[[#This Row],[DONOR 24/25]]</f>
        <v>0</v>
      </c>
    </row>
    <row r="167" spans="1:29" ht="15" hidden="1" customHeight="1" x14ac:dyDescent="0.25">
      <c r="A167" s="21" t="s">
        <v>815</v>
      </c>
      <c r="B167" s="2" t="s">
        <v>1316</v>
      </c>
      <c r="C167" s="2" t="e">
        <f ca="1">PAProjects5[[#This Row],[LINKING_CODE]]=_xlfn.CONCAT(PAProjects5[[#This Row],[Project Code]]," ",PAProjects5[[#This Row],[Project Name]])</f>
        <v>#NAME?</v>
      </c>
      <c r="D167" s="2" t="e">
        <f>VLOOKUP(PAProjects5[[#This Row],[LINKING_CODE]],MasterTable[[Project Code and Name ]],1,FALSE)</f>
        <v>#N/A</v>
      </c>
      <c r="E167" s="2" t="s">
        <v>511</v>
      </c>
      <c r="F167" s="2" t="s">
        <v>890</v>
      </c>
      <c r="G167" s="2" t="s">
        <v>891</v>
      </c>
      <c r="H167" s="2" t="s">
        <v>928</v>
      </c>
      <c r="I167" s="2" t="s">
        <v>894</v>
      </c>
      <c r="J167" s="2" t="s">
        <v>895</v>
      </c>
      <c r="K167" s="2" t="s">
        <v>1509</v>
      </c>
      <c r="L167" s="23">
        <v>42186</v>
      </c>
      <c r="M167" s="23">
        <v>45107</v>
      </c>
      <c r="N167" s="20">
        <v>7.4</v>
      </c>
      <c r="O167" s="20"/>
      <c r="P167" s="20">
        <f t="shared" si="18"/>
        <v>7.4</v>
      </c>
      <c r="Q167" s="20">
        <f>SUMIFS(MasterTable[Estimate of Arrears at end of the current FY 2020/21 (value)],MasterTable[[Project Code and Name ]],PAProjects5[[#This Row],[LINKING_CODE]],MasterTable[Funding Source],"GoU Funded")/10^9</f>
        <v>0</v>
      </c>
      <c r="R167" s="2">
        <v>3</v>
      </c>
      <c r="S167" s="2"/>
      <c r="T167" s="49">
        <f>PAProjects[[#This Row],[GOU 21/22]]+PAProjects[[#This Row],[DONOR 21/22]]</f>
        <v>3</v>
      </c>
      <c r="U167" s="2">
        <v>3</v>
      </c>
      <c r="V167" s="2"/>
      <c r="W167" s="49">
        <f>PAProjects[[#This Row],[GOU 22/23]]+PAProjects[[#This Row],[DONOR 22/23]]</f>
        <v>3</v>
      </c>
      <c r="X167" s="2"/>
      <c r="Y167" s="2"/>
      <c r="Z167" s="2"/>
      <c r="AA167" s="2"/>
      <c r="AB167" s="2"/>
      <c r="AC167" s="49">
        <f>PAProjects[[#This Row],[GOU 24/25]]+PAProjects[[#This Row],[DONOR 24/25]]</f>
        <v>0</v>
      </c>
    </row>
    <row r="168" spans="1:29" ht="15" hidden="1" customHeight="1" x14ac:dyDescent="0.25">
      <c r="A168" s="21" t="s">
        <v>817</v>
      </c>
      <c r="B168" s="2" t="s">
        <v>1317</v>
      </c>
      <c r="C168" s="2" t="e">
        <f ca="1">PAProjects5[[#This Row],[LINKING_CODE]]=_xlfn.CONCAT(PAProjects5[[#This Row],[Project Code]]," ",PAProjects5[[#This Row],[Project Name]])</f>
        <v>#NAME?</v>
      </c>
      <c r="D168" s="2" t="e">
        <f>VLOOKUP(PAProjects5[[#This Row],[LINKING_CODE]],MasterTable[[Project Code and Name ]],1,FALSE)</f>
        <v>#N/A</v>
      </c>
      <c r="E168" s="2" t="s">
        <v>511</v>
      </c>
      <c r="F168" s="2" t="s">
        <v>890</v>
      </c>
      <c r="G168" s="2" t="s">
        <v>891</v>
      </c>
      <c r="H168" s="2" t="s">
        <v>928</v>
      </c>
      <c r="I168" s="2" t="s">
        <v>896</v>
      </c>
      <c r="J168" s="2" t="s">
        <v>517</v>
      </c>
      <c r="K168" s="2" t="s">
        <v>1509</v>
      </c>
      <c r="L168" s="23">
        <v>42186</v>
      </c>
      <c r="M168" s="23">
        <v>44742</v>
      </c>
      <c r="N168" s="20">
        <v>4</v>
      </c>
      <c r="O168" s="20">
        <v>44.58</v>
      </c>
      <c r="P168" s="20">
        <f t="shared" si="18"/>
        <v>48.58</v>
      </c>
      <c r="Q168" s="20">
        <f>SUMIFS(MasterTable[Estimate of Arrears at end of the current FY 2020/21 (value)],MasterTable[[Project Code and Name ]],PAProjects5[[#This Row],[LINKING_CODE]],MasterTable[Funding Source],"GoU Funded")/10^9</f>
        <v>0</v>
      </c>
      <c r="R168" s="2">
        <v>0.31</v>
      </c>
      <c r="S168" s="2">
        <v>2.2599999999999998</v>
      </c>
      <c r="T168" s="49">
        <f>PAProjects[[#This Row],[GOU 21/22]]+PAProjects[[#This Row],[DONOR 21/22]]</f>
        <v>2.57</v>
      </c>
      <c r="U168" s="2"/>
      <c r="V168" s="2"/>
      <c r="W168" s="49">
        <f>PAProjects[[#This Row],[GOU 22/23]]+PAProjects[[#This Row],[DONOR 22/23]]</f>
        <v>0</v>
      </c>
      <c r="X168" s="2"/>
      <c r="Y168" s="2"/>
      <c r="Z168" s="2"/>
      <c r="AA168" s="2"/>
      <c r="AB168" s="2"/>
      <c r="AC168" s="49">
        <f>PAProjects[[#This Row],[GOU 24/25]]+PAProjects[[#This Row],[DONOR 24/25]]</f>
        <v>0</v>
      </c>
    </row>
    <row r="169" spans="1:29" ht="15" hidden="1" customHeight="1" x14ac:dyDescent="0.25">
      <c r="A169" s="21" t="s">
        <v>897</v>
      </c>
      <c r="B169" s="2" t="s">
        <v>1318</v>
      </c>
      <c r="C169" s="2" t="e">
        <f ca="1">PAProjects5[[#This Row],[LINKING_CODE]]=_xlfn.CONCAT(PAProjects5[[#This Row],[Project Code]]," ",PAProjects5[[#This Row],[Project Name]])</f>
        <v>#NAME?</v>
      </c>
      <c r="D169" s="2" t="e">
        <f>VLOOKUP(PAProjects5[[#This Row],[LINKING_CODE]],MasterTable[[Project Code and Name ]],1,FALSE)</f>
        <v>#N/A</v>
      </c>
      <c r="E169" s="2" t="s">
        <v>511</v>
      </c>
      <c r="F169" s="2" t="s">
        <v>890</v>
      </c>
      <c r="G169" s="2" t="s">
        <v>891</v>
      </c>
      <c r="H169" s="2" t="s">
        <v>928</v>
      </c>
      <c r="I169" s="2" t="s">
        <v>898</v>
      </c>
      <c r="J169" s="2" t="s">
        <v>521</v>
      </c>
      <c r="K169" s="2" t="s">
        <v>1509</v>
      </c>
      <c r="L169" s="23">
        <v>42186</v>
      </c>
      <c r="M169" s="23">
        <v>44742</v>
      </c>
      <c r="N169" s="20">
        <v>45.6</v>
      </c>
      <c r="O169" s="20"/>
      <c r="P169" s="20">
        <f t="shared" si="18"/>
        <v>45.6</v>
      </c>
      <c r="Q169" s="20">
        <f>SUMIFS(MasterTable[Estimate of Arrears at end of the current FY 2020/21 (value)],MasterTable[[Project Code and Name ]],PAProjects5[[#This Row],[LINKING_CODE]],MasterTable[Funding Source],"GoU Funded")/10^9</f>
        <v>0</v>
      </c>
      <c r="R169" s="2">
        <v>13.15</v>
      </c>
      <c r="S169" s="2"/>
      <c r="T169" s="49">
        <f>PAProjects[[#This Row],[GOU 21/22]]+PAProjects[[#This Row],[DONOR 21/22]]</f>
        <v>13.15</v>
      </c>
      <c r="U169" s="2"/>
      <c r="V169" s="2"/>
      <c r="W169" s="49">
        <f>PAProjects[[#This Row],[GOU 22/23]]+PAProjects[[#This Row],[DONOR 22/23]]</f>
        <v>0</v>
      </c>
      <c r="X169" s="2"/>
      <c r="Y169" s="2"/>
      <c r="Z169" s="2"/>
      <c r="AA169" s="2"/>
      <c r="AB169" s="2"/>
      <c r="AC169" s="49">
        <f>PAProjects[[#This Row],[GOU 24/25]]+PAProjects[[#This Row],[DONOR 24/25]]</f>
        <v>0</v>
      </c>
    </row>
    <row r="170" spans="1:29" ht="15" hidden="1" customHeight="1" x14ac:dyDescent="0.25">
      <c r="A170" s="21" t="s">
        <v>899</v>
      </c>
      <c r="B170" s="2" t="s">
        <v>1319</v>
      </c>
      <c r="C170" s="2" t="e">
        <f ca="1">PAProjects5[[#This Row],[LINKING_CODE]]=_xlfn.CONCAT(PAProjects5[[#This Row],[Project Code]]," ",PAProjects5[[#This Row],[Project Name]])</f>
        <v>#NAME?</v>
      </c>
      <c r="D170" s="2" t="e">
        <f>VLOOKUP(PAProjects5[[#This Row],[LINKING_CODE]],MasterTable[[Project Code and Name ]],1,FALSE)</f>
        <v>#N/A</v>
      </c>
      <c r="E170" s="2" t="s">
        <v>511</v>
      </c>
      <c r="F170" s="2" t="s">
        <v>890</v>
      </c>
      <c r="G170" s="2" t="s">
        <v>891</v>
      </c>
      <c r="H170" s="2" t="s">
        <v>928</v>
      </c>
      <c r="I170" s="2" t="s">
        <v>900</v>
      </c>
      <c r="J170" s="2" t="s">
        <v>901</v>
      </c>
      <c r="K170" s="2" t="s">
        <v>1509</v>
      </c>
      <c r="L170" s="23">
        <v>42186</v>
      </c>
      <c r="M170" s="23">
        <v>44742</v>
      </c>
      <c r="N170" s="20">
        <v>125.5</v>
      </c>
      <c r="O170" s="20"/>
      <c r="P170" s="20">
        <f t="shared" si="18"/>
        <v>125.5</v>
      </c>
      <c r="Q170" s="20">
        <f>SUMIFS(MasterTable[Estimate of Arrears at end of the current FY 2020/21 (value)],MasterTable[[Project Code and Name ]],PAProjects5[[#This Row],[LINKING_CODE]],MasterTable[Funding Source],"GoU Funded")/10^9</f>
        <v>0</v>
      </c>
      <c r="R170" s="2">
        <v>38.4</v>
      </c>
      <c r="S170" s="2"/>
      <c r="T170" s="49">
        <f>PAProjects[[#This Row],[GOU 21/22]]+PAProjects[[#This Row],[DONOR 21/22]]</f>
        <v>38.4</v>
      </c>
      <c r="U170" s="2"/>
      <c r="V170" s="2"/>
      <c r="W170" s="49">
        <f>PAProjects[[#This Row],[GOU 22/23]]+PAProjects[[#This Row],[DONOR 22/23]]</f>
        <v>0</v>
      </c>
      <c r="X170" s="2"/>
      <c r="Y170" s="2"/>
      <c r="Z170" s="2"/>
      <c r="AA170" s="2"/>
      <c r="AB170" s="2"/>
      <c r="AC170" s="49">
        <f>PAProjects[[#This Row],[GOU 24/25]]+PAProjects[[#This Row],[DONOR 24/25]]</f>
        <v>0</v>
      </c>
    </row>
    <row r="171" spans="1:29" ht="15" hidden="1" customHeight="1" x14ac:dyDescent="0.25">
      <c r="A171" s="21" t="s">
        <v>902</v>
      </c>
      <c r="B171" s="2" t="s">
        <v>1320</v>
      </c>
      <c r="C171" s="2" t="e">
        <f ca="1">PAProjects5[[#This Row],[LINKING_CODE]]=_xlfn.CONCAT(PAProjects5[[#This Row],[Project Code]]," ",PAProjects5[[#This Row],[Project Name]])</f>
        <v>#NAME?</v>
      </c>
      <c r="D171" s="2" t="e">
        <f>VLOOKUP(PAProjects5[[#This Row],[LINKING_CODE]],MasterTable[[Project Code and Name ]],1,FALSE)</f>
        <v>#N/A</v>
      </c>
      <c r="E171" s="2" t="s">
        <v>511</v>
      </c>
      <c r="F171" s="2" t="s">
        <v>890</v>
      </c>
      <c r="G171" s="2" t="s">
        <v>891</v>
      </c>
      <c r="H171" s="2" t="s">
        <v>928</v>
      </c>
      <c r="I171" s="2" t="s">
        <v>903</v>
      </c>
      <c r="J171" s="2" t="s">
        <v>523</v>
      </c>
      <c r="K171" s="2" t="s">
        <v>1509</v>
      </c>
      <c r="L171" s="23">
        <v>42186</v>
      </c>
      <c r="M171" s="23">
        <v>44742</v>
      </c>
      <c r="N171" s="20">
        <v>59.4</v>
      </c>
      <c r="O171" s="20"/>
      <c r="P171" s="20">
        <f t="shared" si="18"/>
        <v>59.4</v>
      </c>
      <c r="Q171" s="20">
        <f>SUMIFS(MasterTable[Estimate of Arrears at end of the current FY 2020/21 (value)],MasterTable[[Project Code and Name ]],PAProjects5[[#This Row],[LINKING_CODE]],MasterTable[Funding Source],"GoU Funded")/10^9</f>
        <v>0</v>
      </c>
      <c r="R171" s="2">
        <v>13.31</v>
      </c>
      <c r="S171" s="2"/>
      <c r="T171" s="49">
        <f>PAProjects[[#This Row],[GOU 21/22]]+PAProjects[[#This Row],[DONOR 21/22]]</f>
        <v>13.31</v>
      </c>
      <c r="U171" s="2"/>
      <c r="V171" s="2"/>
      <c r="W171" s="49">
        <f>PAProjects[[#This Row],[GOU 22/23]]+PAProjects[[#This Row],[DONOR 22/23]]</f>
        <v>0</v>
      </c>
      <c r="X171" s="2"/>
      <c r="Y171" s="2"/>
      <c r="Z171" s="2"/>
      <c r="AA171" s="2"/>
      <c r="AB171" s="2"/>
      <c r="AC171" s="49">
        <f>PAProjects[[#This Row],[GOU 24/25]]+PAProjects[[#This Row],[DONOR 24/25]]</f>
        <v>0</v>
      </c>
    </row>
    <row r="172" spans="1:29" ht="15" hidden="1" customHeight="1" x14ac:dyDescent="0.25">
      <c r="A172" s="21" t="s">
        <v>904</v>
      </c>
      <c r="B172" s="2" t="s">
        <v>1321</v>
      </c>
      <c r="C172" s="2" t="e">
        <f ca="1">PAProjects5[[#This Row],[LINKING_CODE]]=_xlfn.CONCAT(PAProjects5[[#This Row],[Project Code]]," ",PAProjects5[[#This Row],[Project Name]])</f>
        <v>#NAME?</v>
      </c>
      <c r="D172" s="2" t="e">
        <f>VLOOKUP(PAProjects5[[#This Row],[LINKING_CODE]],MasterTable[[Project Code and Name ]],1,FALSE)</f>
        <v>#N/A</v>
      </c>
      <c r="E172" s="2" t="s">
        <v>511</v>
      </c>
      <c r="F172" s="2" t="s">
        <v>890</v>
      </c>
      <c r="G172" s="2" t="s">
        <v>891</v>
      </c>
      <c r="H172" s="2" t="s">
        <v>928</v>
      </c>
      <c r="I172" s="2" t="s">
        <v>905</v>
      </c>
      <c r="J172" s="2" t="s">
        <v>526</v>
      </c>
      <c r="K172" s="2" t="s">
        <v>1509</v>
      </c>
      <c r="L172" s="23">
        <v>42186</v>
      </c>
      <c r="M172" s="23">
        <v>44742</v>
      </c>
      <c r="N172" s="20">
        <v>12.6</v>
      </c>
      <c r="O172" s="20">
        <v>107.42</v>
      </c>
      <c r="P172" s="20">
        <f t="shared" si="18"/>
        <v>120.02</v>
      </c>
      <c r="Q172" s="20">
        <f>SUMIFS(MasterTable[Estimate of Arrears at end of the current FY 2020/21 (value)],MasterTable[[Project Code and Name ]],PAProjects5[[#This Row],[LINKING_CODE]],MasterTable[Funding Source],"GoU Funded")/10^9</f>
        <v>0</v>
      </c>
      <c r="R172" s="2">
        <v>0.3</v>
      </c>
      <c r="S172" s="2">
        <v>46.67</v>
      </c>
      <c r="T172" s="49">
        <f>PAProjects[[#This Row],[GOU 21/22]]+PAProjects[[#This Row],[DONOR 21/22]]</f>
        <v>46.97</v>
      </c>
      <c r="U172" s="2"/>
      <c r="V172" s="2"/>
      <c r="W172" s="49">
        <f>PAProjects[[#This Row],[GOU 22/23]]+PAProjects[[#This Row],[DONOR 22/23]]</f>
        <v>0</v>
      </c>
      <c r="X172" s="2"/>
      <c r="Y172" s="2"/>
      <c r="Z172" s="2"/>
      <c r="AA172" s="2"/>
      <c r="AB172" s="2"/>
      <c r="AC172" s="49">
        <f>PAProjects[[#This Row],[GOU 24/25]]+PAProjects[[#This Row],[DONOR 24/25]]</f>
        <v>0</v>
      </c>
    </row>
    <row r="173" spans="1:29" ht="15" hidden="1" customHeight="1" x14ac:dyDescent="0.25">
      <c r="A173" s="21" t="s">
        <v>906</v>
      </c>
      <c r="B173" s="2" t="s">
        <v>1322</v>
      </c>
      <c r="C173" s="2" t="e">
        <f ca="1">PAProjects5[[#This Row],[LINKING_CODE]]=_xlfn.CONCAT(PAProjects5[[#This Row],[Project Code]]," ",PAProjects5[[#This Row],[Project Name]])</f>
        <v>#NAME?</v>
      </c>
      <c r="D173" s="2" t="e">
        <f>VLOOKUP(PAProjects5[[#This Row],[LINKING_CODE]],MasterTable[[Project Code and Name ]],1,FALSE)</f>
        <v>#N/A</v>
      </c>
      <c r="E173" s="2" t="s">
        <v>511</v>
      </c>
      <c r="F173" s="2" t="s">
        <v>890</v>
      </c>
      <c r="G173" s="2" t="s">
        <v>891</v>
      </c>
      <c r="H173" s="2" t="s">
        <v>928</v>
      </c>
      <c r="I173" s="2" t="s">
        <v>907</v>
      </c>
      <c r="J173" s="2" t="s">
        <v>528</v>
      </c>
      <c r="K173" s="2" t="s">
        <v>1509</v>
      </c>
      <c r="L173" s="23">
        <v>42186</v>
      </c>
      <c r="M173" s="23">
        <v>44742</v>
      </c>
      <c r="N173" s="20">
        <v>49.7</v>
      </c>
      <c r="O173" s="20"/>
      <c r="P173" s="20">
        <f t="shared" si="18"/>
        <v>49.7</v>
      </c>
      <c r="Q173" s="20">
        <f>SUMIFS(MasterTable[Estimate of Arrears at end of the current FY 2020/21 (value)],MasterTable[[Project Code and Name ]],PAProjects5[[#This Row],[LINKING_CODE]],MasterTable[Funding Source],"GoU Funded")/10^9</f>
        <v>0</v>
      </c>
      <c r="R173" s="2">
        <v>7.34</v>
      </c>
      <c r="S173" s="2"/>
      <c r="T173" s="49">
        <f>PAProjects[[#This Row],[GOU 21/22]]+PAProjects[[#This Row],[DONOR 21/22]]</f>
        <v>7.34</v>
      </c>
      <c r="U173" s="2"/>
      <c r="V173" s="2"/>
      <c r="W173" s="49">
        <f>PAProjects[[#This Row],[GOU 22/23]]+PAProjects[[#This Row],[DONOR 22/23]]</f>
        <v>0</v>
      </c>
      <c r="X173" s="2"/>
      <c r="Y173" s="2"/>
      <c r="Z173" s="2"/>
      <c r="AA173" s="2"/>
      <c r="AB173" s="2"/>
      <c r="AC173" s="49">
        <f>PAProjects[[#This Row],[GOU 24/25]]+PAProjects[[#This Row],[DONOR 24/25]]</f>
        <v>0</v>
      </c>
    </row>
    <row r="174" spans="1:29" ht="15" hidden="1" customHeight="1" x14ac:dyDescent="0.25">
      <c r="A174" s="21" t="s">
        <v>524</v>
      </c>
      <c r="B174" s="2" t="s">
        <v>1323</v>
      </c>
      <c r="C174" s="2" t="e">
        <f ca="1">PAProjects5[[#This Row],[LINKING_CODE]]=_xlfn.CONCAT(PAProjects5[[#This Row],[Project Code]]," ",PAProjects5[[#This Row],[Project Name]])</f>
        <v>#NAME?</v>
      </c>
      <c r="D174" s="2" t="e">
        <f>VLOOKUP(PAProjects5[[#This Row],[LINKING_CODE]],MasterTable[[Project Code and Name ]],1,FALSE)</f>
        <v>#N/A</v>
      </c>
      <c r="E174" s="2" t="s">
        <v>511</v>
      </c>
      <c r="F174" s="2" t="s">
        <v>890</v>
      </c>
      <c r="G174" s="2" t="s">
        <v>891</v>
      </c>
      <c r="H174" s="2" t="s">
        <v>928</v>
      </c>
      <c r="I174" s="2" t="s">
        <v>908</v>
      </c>
      <c r="J174" s="2" t="s">
        <v>539</v>
      </c>
      <c r="K174" s="2" t="s">
        <v>1509</v>
      </c>
      <c r="L174" s="23">
        <v>42552</v>
      </c>
      <c r="M174" s="23">
        <v>44742</v>
      </c>
      <c r="N174" s="20">
        <v>19.649999999999999</v>
      </c>
      <c r="O174" s="20"/>
      <c r="P174" s="20">
        <f t="shared" si="18"/>
        <v>19.649999999999999</v>
      </c>
      <c r="Q174" s="20">
        <f>SUMIFS(MasterTable[Estimate of Arrears at end of the current FY 2020/21 (value)],MasterTable[[Project Code and Name ]],PAProjects5[[#This Row],[LINKING_CODE]],MasterTable[Funding Source],"GoU Funded")/10^9</f>
        <v>0</v>
      </c>
      <c r="R174" s="2">
        <v>3.9</v>
      </c>
      <c r="S174" s="2"/>
      <c r="T174" s="49">
        <f>PAProjects[[#This Row],[GOU 21/22]]+PAProjects[[#This Row],[DONOR 21/22]]</f>
        <v>3.9</v>
      </c>
      <c r="U174" s="2"/>
      <c r="V174" s="2"/>
      <c r="W174" s="49">
        <f>PAProjects[[#This Row],[GOU 22/23]]+PAProjects[[#This Row],[DONOR 22/23]]</f>
        <v>0</v>
      </c>
      <c r="X174" s="2"/>
      <c r="Y174" s="2"/>
      <c r="Z174" s="2"/>
      <c r="AA174" s="2"/>
      <c r="AB174" s="2"/>
      <c r="AC174" s="49">
        <f>PAProjects[[#This Row],[GOU 24/25]]+PAProjects[[#This Row],[DONOR 24/25]]</f>
        <v>0</v>
      </c>
    </row>
    <row r="175" spans="1:29" ht="15" hidden="1" customHeight="1" x14ac:dyDescent="0.25">
      <c r="A175" s="21" t="s">
        <v>525</v>
      </c>
      <c r="B175" s="2" t="s">
        <v>1324</v>
      </c>
      <c r="C175" s="2" t="e">
        <f ca="1">PAProjects5[[#This Row],[LINKING_CODE]]=_xlfn.CONCAT(PAProjects5[[#This Row],[Project Code]]," ",PAProjects5[[#This Row],[Project Name]])</f>
        <v>#NAME?</v>
      </c>
      <c r="D175" s="2" t="e">
        <f>VLOOKUP(PAProjects5[[#This Row],[LINKING_CODE]],MasterTable[[Project Code and Name ]],1,FALSE)</f>
        <v>#N/A</v>
      </c>
      <c r="E175" s="2" t="s">
        <v>511</v>
      </c>
      <c r="F175" s="2" t="s">
        <v>890</v>
      </c>
      <c r="G175" s="2" t="s">
        <v>891</v>
      </c>
      <c r="H175" s="2" t="s">
        <v>928</v>
      </c>
      <c r="I175" s="2" t="s">
        <v>909</v>
      </c>
      <c r="J175" s="2" t="s">
        <v>541</v>
      </c>
      <c r="K175" s="2" t="s">
        <v>1509</v>
      </c>
      <c r="L175" s="23">
        <v>42552</v>
      </c>
      <c r="M175" s="23">
        <v>44742</v>
      </c>
      <c r="N175" s="28">
        <v>5.3129999999999997</v>
      </c>
      <c r="O175" s="28">
        <v>11.91</v>
      </c>
      <c r="P175" s="20">
        <f t="shared" si="18"/>
        <v>17.222999999999999</v>
      </c>
      <c r="Q175" s="20">
        <f>SUMIFS(MasterTable[Estimate of Arrears at end of the current FY 2020/21 (value)],MasterTable[[Project Code and Name ]],PAProjects5[[#This Row],[LINKING_CODE]],MasterTable[Funding Source],"GoU Funded")/10^9</f>
        <v>0</v>
      </c>
      <c r="R175" s="2">
        <v>1.3</v>
      </c>
      <c r="S175" s="2"/>
      <c r="T175" s="49">
        <f>PAProjects[[#This Row],[GOU 21/22]]+PAProjects[[#This Row],[DONOR 21/22]]</f>
        <v>1.3</v>
      </c>
      <c r="U175" s="2"/>
      <c r="V175" s="2"/>
      <c r="W175" s="49">
        <f>PAProjects[[#This Row],[GOU 22/23]]+PAProjects[[#This Row],[DONOR 22/23]]</f>
        <v>0</v>
      </c>
      <c r="X175" s="2"/>
      <c r="Y175" s="2"/>
      <c r="Z175" s="2"/>
      <c r="AA175" s="2"/>
      <c r="AB175" s="2"/>
      <c r="AC175" s="49">
        <f>PAProjects[[#This Row],[GOU 24/25]]+PAProjects[[#This Row],[DONOR 24/25]]</f>
        <v>0</v>
      </c>
    </row>
    <row r="176" spans="1:29" ht="15" hidden="1" customHeight="1" x14ac:dyDescent="0.25">
      <c r="A176" s="21" t="s">
        <v>527</v>
      </c>
      <c r="B176" s="2" t="s">
        <v>1325</v>
      </c>
      <c r="C176" s="2" t="e">
        <f ca="1">PAProjects5[[#This Row],[LINKING_CODE]]=_xlfn.CONCAT(PAProjects5[[#This Row],[Project Code]]," ",PAProjects5[[#This Row],[Project Name]])</f>
        <v>#NAME?</v>
      </c>
      <c r="D176" s="2" t="e">
        <f>VLOOKUP(PAProjects5[[#This Row],[LINKING_CODE]],MasterTable[[Project Code and Name ]],1,FALSE)</f>
        <v>#N/A</v>
      </c>
      <c r="E176" s="2" t="s">
        <v>511</v>
      </c>
      <c r="F176" s="2" t="s">
        <v>890</v>
      </c>
      <c r="G176" s="2" t="s">
        <v>891</v>
      </c>
      <c r="H176" s="2" t="s">
        <v>928</v>
      </c>
      <c r="I176" s="2" t="s">
        <v>910</v>
      </c>
      <c r="J176" s="2" t="s">
        <v>532</v>
      </c>
      <c r="K176" s="2" t="s">
        <v>1509</v>
      </c>
      <c r="L176" s="23">
        <v>42552</v>
      </c>
      <c r="M176" s="23">
        <v>44742</v>
      </c>
      <c r="N176" s="28">
        <v>6.6</v>
      </c>
      <c r="O176" s="28">
        <v>91.22</v>
      </c>
      <c r="P176" s="20">
        <f t="shared" si="18"/>
        <v>97.82</v>
      </c>
      <c r="Q176" s="20">
        <f>SUMIFS(MasterTable[Estimate of Arrears at end of the current FY 2020/21 (value)],MasterTable[[Project Code and Name ]],PAProjects5[[#This Row],[LINKING_CODE]],MasterTable[Funding Source],"GoU Funded")/10^9</f>
        <v>0</v>
      </c>
      <c r="R176" s="2">
        <v>1.3</v>
      </c>
      <c r="S176" s="2"/>
      <c r="T176" s="49">
        <f>PAProjects[[#This Row],[GOU 21/22]]+PAProjects[[#This Row],[DONOR 21/22]]</f>
        <v>1.3</v>
      </c>
      <c r="U176" s="2"/>
      <c r="V176" s="2"/>
      <c r="W176" s="49">
        <f>PAProjects[[#This Row],[GOU 22/23]]+PAProjects[[#This Row],[DONOR 22/23]]</f>
        <v>0</v>
      </c>
      <c r="X176" s="2"/>
      <c r="Y176" s="2"/>
      <c r="Z176" s="2"/>
      <c r="AA176" s="2"/>
      <c r="AB176" s="2"/>
      <c r="AC176" s="49">
        <f>PAProjects[[#This Row],[GOU 24/25]]+PAProjects[[#This Row],[DONOR 24/25]]</f>
        <v>0</v>
      </c>
    </row>
    <row r="177" spans="1:29" ht="15" hidden="1" customHeight="1" x14ac:dyDescent="0.25">
      <c r="A177" s="21" t="s">
        <v>529</v>
      </c>
      <c r="B177" s="2" t="s">
        <v>1326</v>
      </c>
      <c r="C177" s="2" t="e">
        <f ca="1">PAProjects5[[#This Row],[LINKING_CODE]]=_xlfn.CONCAT(PAProjects5[[#This Row],[Project Code]]," ",PAProjects5[[#This Row],[Project Name]])</f>
        <v>#NAME?</v>
      </c>
      <c r="D177" s="2" t="e">
        <f>VLOOKUP(PAProjects5[[#This Row],[LINKING_CODE]],MasterTable[[Project Code and Name ]],1,FALSE)</f>
        <v>#N/A</v>
      </c>
      <c r="E177" s="2" t="s">
        <v>511</v>
      </c>
      <c r="F177" s="2" t="s">
        <v>890</v>
      </c>
      <c r="G177" s="2" t="s">
        <v>891</v>
      </c>
      <c r="H177" s="2" t="s">
        <v>928</v>
      </c>
      <c r="I177" s="2" t="s">
        <v>911</v>
      </c>
      <c r="J177" s="2" t="s">
        <v>530</v>
      </c>
      <c r="K177" s="2" t="s">
        <v>1509</v>
      </c>
      <c r="L177" s="23">
        <v>42917</v>
      </c>
      <c r="M177" s="23">
        <v>45107</v>
      </c>
      <c r="N177" s="28">
        <v>37.874000000000002</v>
      </c>
      <c r="O177" s="28">
        <v>368.35199999999998</v>
      </c>
      <c r="P177" s="20">
        <f t="shared" si="18"/>
        <v>406.226</v>
      </c>
      <c r="Q177" s="20">
        <f>SUMIFS(MasterTable[Estimate of Arrears at end of the current FY 2020/21 (value)],MasterTable[[Project Code and Name ]],PAProjects5[[#This Row],[LINKING_CODE]],MasterTable[Funding Source],"GoU Funded")/10^9</f>
        <v>0</v>
      </c>
      <c r="R177" s="2">
        <v>4.2</v>
      </c>
      <c r="S177" s="2">
        <v>21.9</v>
      </c>
      <c r="T177" s="49">
        <f>PAProjects[[#This Row],[GOU 21/22]]+PAProjects[[#This Row],[DONOR 21/22]]</f>
        <v>26.099999999999998</v>
      </c>
      <c r="U177" s="2">
        <v>4.2</v>
      </c>
      <c r="V177" s="2">
        <v>21.9</v>
      </c>
      <c r="W177" s="49">
        <f>PAProjects[[#This Row],[GOU 22/23]]+PAProjects[[#This Row],[DONOR 22/23]]</f>
        <v>26.099999999999998</v>
      </c>
      <c r="X177" s="2"/>
      <c r="Y177" s="2"/>
      <c r="Z177" s="2"/>
      <c r="AA177" s="2"/>
      <c r="AB177" s="2"/>
      <c r="AC177" s="49">
        <f>PAProjects[[#This Row],[GOU 24/25]]+PAProjects[[#This Row],[DONOR 24/25]]</f>
        <v>0</v>
      </c>
    </row>
    <row r="178" spans="1:29" ht="15" hidden="1" customHeight="1" x14ac:dyDescent="0.25">
      <c r="A178" s="21" t="s">
        <v>531</v>
      </c>
      <c r="B178" s="2" t="s">
        <v>1327</v>
      </c>
      <c r="C178" s="2" t="e">
        <f ca="1">PAProjects5[[#This Row],[LINKING_CODE]]=_xlfn.CONCAT(PAProjects5[[#This Row],[Project Code]]," ",PAProjects5[[#This Row],[Project Name]])</f>
        <v>#NAME?</v>
      </c>
      <c r="D178" s="2" t="e">
        <f>VLOOKUP(PAProjects5[[#This Row],[LINKING_CODE]],MasterTable[[Project Code and Name ]],1,FALSE)</f>
        <v>#N/A</v>
      </c>
      <c r="E178" s="2" t="s">
        <v>511</v>
      </c>
      <c r="F178" s="2" t="s">
        <v>890</v>
      </c>
      <c r="G178" s="2" t="s">
        <v>891</v>
      </c>
      <c r="H178" s="2" t="s">
        <v>928</v>
      </c>
      <c r="I178" s="2" t="s">
        <v>912</v>
      </c>
      <c r="J178" s="2" t="s">
        <v>543</v>
      </c>
      <c r="K178" s="2" t="s">
        <v>1509</v>
      </c>
      <c r="L178" s="23">
        <v>42917</v>
      </c>
      <c r="M178" s="23">
        <v>44742</v>
      </c>
      <c r="N178" s="28">
        <v>1.3169999999999999</v>
      </c>
      <c r="O178" s="28">
        <v>43.79</v>
      </c>
      <c r="P178" s="20">
        <f t="shared" si="18"/>
        <v>45.106999999999999</v>
      </c>
      <c r="Q178" s="20">
        <f>SUMIFS(MasterTable[Estimate of Arrears at end of the current FY 2020/21 (value)],MasterTable[[Project Code and Name ]],PAProjects5[[#This Row],[LINKING_CODE]],MasterTable[Funding Source],"GoU Funded")/10^9</f>
        <v>0</v>
      </c>
      <c r="R178" s="2">
        <v>0.72</v>
      </c>
      <c r="S178" s="2">
        <v>9.48</v>
      </c>
      <c r="T178" s="49">
        <f>PAProjects[[#This Row],[GOU 21/22]]+PAProjects[[#This Row],[DONOR 21/22]]</f>
        <v>10.200000000000001</v>
      </c>
      <c r="U178" s="2"/>
      <c r="V178" s="2"/>
      <c r="W178" s="49">
        <f>PAProjects[[#This Row],[GOU 22/23]]+PAProjects[[#This Row],[DONOR 22/23]]</f>
        <v>0</v>
      </c>
      <c r="X178" s="2"/>
      <c r="Y178" s="2"/>
      <c r="Z178" s="2"/>
      <c r="AA178" s="2"/>
      <c r="AB178" s="2"/>
      <c r="AC178" s="49">
        <f>PAProjects[[#This Row],[GOU 24/25]]+PAProjects[[#This Row],[DONOR 24/25]]</f>
        <v>0</v>
      </c>
    </row>
    <row r="179" spans="1:29" ht="15" hidden="1" customHeight="1" x14ac:dyDescent="0.25">
      <c r="A179" s="21" t="s">
        <v>533</v>
      </c>
      <c r="B179" s="2" t="s">
        <v>1328</v>
      </c>
      <c r="C179" s="2" t="e">
        <f ca="1">PAProjects5[[#This Row],[LINKING_CODE]]=_xlfn.CONCAT(PAProjects5[[#This Row],[Project Code]]," ",PAProjects5[[#This Row],[Project Name]])</f>
        <v>#NAME?</v>
      </c>
      <c r="D179" s="2" t="e">
        <f>VLOOKUP(PAProjects5[[#This Row],[LINKING_CODE]],MasterTable[[Project Code and Name ]],1,FALSE)</f>
        <v>#N/A</v>
      </c>
      <c r="E179" s="2" t="s">
        <v>511</v>
      </c>
      <c r="F179" s="2" t="s">
        <v>890</v>
      </c>
      <c r="G179" s="2" t="s">
        <v>891</v>
      </c>
      <c r="H179" s="2" t="s">
        <v>928</v>
      </c>
      <c r="I179" s="2" t="s">
        <v>913</v>
      </c>
      <c r="J179" s="2" t="s">
        <v>914</v>
      </c>
      <c r="K179" s="2" t="s">
        <v>1509</v>
      </c>
      <c r="L179" s="23">
        <v>43282</v>
      </c>
      <c r="M179" s="23">
        <v>45107</v>
      </c>
      <c r="N179" s="20">
        <v>80</v>
      </c>
      <c r="O179" s="20">
        <v>740</v>
      </c>
      <c r="P179" s="20">
        <f t="shared" si="18"/>
        <v>820</v>
      </c>
      <c r="Q179" s="20">
        <f>SUMIFS(MasterTable[Estimate of Arrears at end of the current FY 2020/21 (value)],MasterTable[[Project Code and Name ]],PAProjects5[[#This Row],[LINKING_CODE]],MasterTable[Funding Source],"GoU Funded")/10^9</f>
        <v>0</v>
      </c>
      <c r="R179" s="2">
        <v>16</v>
      </c>
      <c r="S179" s="2">
        <v>148</v>
      </c>
      <c r="T179" s="49">
        <f>PAProjects[[#This Row],[GOU 21/22]]+PAProjects[[#This Row],[DONOR 21/22]]</f>
        <v>164</v>
      </c>
      <c r="U179" s="2">
        <v>16</v>
      </c>
      <c r="V179" s="2">
        <v>148</v>
      </c>
      <c r="W179" s="49">
        <f>PAProjects[[#This Row],[GOU 22/23]]+PAProjects[[#This Row],[DONOR 22/23]]</f>
        <v>164</v>
      </c>
      <c r="X179" s="2"/>
      <c r="Y179" s="2"/>
      <c r="Z179" s="2"/>
      <c r="AA179" s="2"/>
      <c r="AB179" s="2"/>
      <c r="AC179" s="49">
        <f>PAProjects[[#This Row],[GOU 24/25]]+PAProjects[[#This Row],[DONOR 24/25]]</f>
        <v>0</v>
      </c>
    </row>
    <row r="180" spans="1:29" ht="15" hidden="1" customHeight="1" x14ac:dyDescent="0.25">
      <c r="A180" s="21" t="s">
        <v>535</v>
      </c>
      <c r="B180" s="2" t="s">
        <v>1329</v>
      </c>
      <c r="C180" s="2" t="e">
        <f ca="1">PAProjects5[[#This Row],[LINKING_CODE]]=_xlfn.CONCAT(PAProjects5[[#This Row],[Project Code]]," ",PAProjects5[[#This Row],[Project Name]])</f>
        <v>#NAME?</v>
      </c>
      <c r="D180" s="2" t="e">
        <f>VLOOKUP(PAProjects5[[#This Row],[LINKING_CODE]],MasterTable[[Project Code and Name ]],1,FALSE)</f>
        <v>#N/A</v>
      </c>
      <c r="E180" s="2" t="s">
        <v>511</v>
      </c>
      <c r="F180" s="2" t="s">
        <v>890</v>
      </c>
      <c r="G180" s="2" t="s">
        <v>891</v>
      </c>
      <c r="H180" s="2" t="s">
        <v>928</v>
      </c>
      <c r="I180" s="2" t="s">
        <v>916</v>
      </c>
      <c r="J180" s="2" t="s">
        <v>550</v>
      </c>
      <c r="K180" s="2" t="s">
        <v>1509</v>
      </c>
      <c r="L180" s="23">
        <v>44013</v>
      </c>
      <c r="M180" s="23">
        <v>45838</v>
      </c>
      <c r="N180" s="20">
        <v>44.44</v>
      </c>
      <c r="O180" s="20"/>
      <c r="P180" s="20">
        <f t="shared" si="18"/>
        <v>44.44</v>
      </c>
      <c r="Q180" s="20">
        <f>SUMIFS(MasterTable[Estimate of Arrears at end of the current FY 2020/21 (value)],MasterTable[[Project Code and Name ]],PAProjects5[[#This Row],[LINKING_CODE]],MasterTable[Funding Source],"GoU Funded")/10^9</f>
        <v>0</v>
      </c>
      <c r="R180" s="2">
        <v>8.8879999999999999</v>
      </c>
      <c r="S180" s="29"/>
      <c r="T180" s="49">
        <f>PAProjects[[#This Row],[GOU 21/22]]+PAProjects[[#This Row],[DONOR 21/22]]</f>
        <v>8.8879999999999999</v>
      </c>
      <c r="U180" s="2">
        <v>8.8879999999999999</v>
      </c>
      <c r="V180" s="2"/>
      <c r="W180" s="49">
        <f>PAProjects[[#This Row],[GOU 22/23]]+PAProjects[[#This Row],[DONOR 22/23]]</f>
        <v>8.8879999999999999</v>
      </c>
      <c r="X180" s="2">
        <v>8.8879999999999999</v>
      </c>
      <c r="Y180" s="2"/>
      <c r="Z180" s="2">
        <f>X180+Y180</f>
        <v>8.8879999999999999</v>
      </c>
      <c r="AA180" s="2">
        <v>8.8879999999999999</v>
      </c>
      <c r="AB180" s="2"/>
      <c r="AC180" s="29">
        <f>PAProjects[[#This Row],[GOU 24/25]]+PAProjects[[#This Row],[DONOR 24/25]]</f>
        <v>8.8879999999999999</v>
      </c>
    </row>
    <row r="181" spans="1:29" ht="15" hidden="1" customHeight="1" x14ac:dyDescent="0.25">
      <c r="A181" s="21" t="s">
        <v>537</v>
      </c>
      <c r="B181" s="2" t="s">
        <v>1330</v>
      </c>
      <c r="C181" s="2" t="e">
        <f ca="1">PAProjects5[[#This Row],[LINKING_CODE]]=_xlfn.CONCAT(PAProjects5[[#This Row],[Project Code]]," ",PAProjects5[[#This Row],[Project Name]])</f>
        <v>#NAME?</v>
      </c>
      <c r="D181" s="2" t="e">
        <f>VLOOKUP(PAProjects5[[#This Row],[LINKING_CODE]],MasterTable[[Project Code and Name ]],1,FALSE)</f>
        <v>#N/A</v>
      </c>
      <c r="E181" s="2" t="s">
        <v>511</v>
      </c>
      <c r="F181" s="2" t="s">
        <v>890</v>
      </c>
      <c r="G181" s="2" t="s">
        <v>891</v>
      </c>
      <c r="H181" s="2" t="s">
        <v>928</v>
      </c>
      <c r="I181" s="2" t="s">
        <v>917</v>
      </c>
      <c r="J181" s="2" t="s">
        <v>918</v>
      </c>
      <c r="K181" s="2" t="s">
        <v>1509</v>
      </c>
      <c r="L181" s="23">
        <v>44013</v>
      </c>
      <c r="M181" s="23">
        <v>45838</v>
      </c>
      <c r="N181" s="20">
        <v>100</v>
      </c>
      <c r="O181" s="20"/>
      <c r="P181" s="20">
        <f t="shared" si="18"/>
        <v>100</v>
      </c>
      <c r="Q181" s="20">
        <f>SUMIFS(MasterTable[Estimate of Arrears at end of the current FY 2020/21 (value)],MasterTable[[Project Code and Name ]],PAProjects5[[#This Row],[LINKING_CODE]],MasterTable[Funding Source],"GoU Funded")/10^9</f>
        <v>0</v>
      </c>
      <c r="R181" s="2">
        <v>20</v>
      </c>
      <c r="S181" s="29"/>
      <c r="T181" s="49">
        <f>PAProjects[[#This Row],[GOU 21/22]]+PAProjects[[#This Row],[DONOR 21/22]]</f>
        <v>20</v>
      </c>
      <c r="U181" s="2">
        <v>20</v>
      </c>
      <c r="V181" s="2"/>
      <c r="W181" s="49">
        <f>PAProjects[[#This Row],[GOU 22/23]]+PAProjects[[#This Row],[DONOR 22/23]]</f>
        <v>20</v>
      </c>
      <c r="X181" s="2">
        <v>20</v>
      </c>
      <c r="Y181" s="2"/>
      <c r="Z181" s="2">
        <f>X181+Y181</f>
        <v>20</v>
      </c>
      <c r="AA181" s="2">
        <v>20</v>
      </c>
      <c r="AB181" s="2"/>
      <c r="AC181" s="29">
        <f>PAProjects[[#This Row],[GOU 24/25]]+PAProjects[[#This Row],[DONOR 24/25]]</f>
        <v>20</v>
      </c>
    </row>
    <row r="182" spans="1:29" ht="15" hidden="1" customHeight="1" x14ac:dyDescent="0.25">
      <c r="A182" s="21" t="s">
        <v>538</v>
      </c>
      <c r="B182" s="2" t="s">
        <v>1331</v>
      </c>
      <c r="C182" s="2" t="e">
        <f ca="1">PAProjects5[[#This Row],[LINKING_CODE]]=_xlfn.CONCAT(PAProjects5[[#This Row],[Project Code]]," ",PAProjects5[[#This Row],[Project Name]])</f>
        <v>#NAME?</v>
      </c>
      <c r="D182" s="2" t="e">
        <f>VLOOKUP(PAProjects5[[#This Row],[LINKING_CODE]],MasterTable[[Project Code and Name ]],1,FALSE)</f>
        <v>#N/A</v>
      </c>
      <c r="E182" s="2" t="s">
        <v>511</v>
      </c>
      <c r="F182" s="2" t="s">
        <v>890</v>
      </c>
      <c r="G182" s="2" t="s">
        <v>891</v>
      </c>
      <c r="H182" s="2" t="s">
        <v>928</v>
      </c>
      <c r="I182" s="2" t="s">
        <v>919</v>
      </c>
      <c r="J182" s="2" t="s">
        <v>920</v>
      </c>
      <c r="K182" s="2" t="s">
        <v>1509</v>
      </c>
      <c r="L182" s="23">
        <v>44013</v>
      </c>
      <c r="M182" s="23">
        <v>45838</v>
      </c>
      <c r="N182" s="20">
        <v>600</v>
      </c>
      <c r="O182" s="20"/>
      <c r="P182" s="20">
        <f t="shared" si="18"/>
        <v>600</v>
      </c>
      <c r="Q182" s="20">
        <f>SUMIFS(MasterTable[Estimate of Arrears at end of the current FY 2020/21 (value)],MasterTable[[Project Code and Name ]],PAProjects5[[#This Row],[LINKING_CODE]],MasterTable[Funding Source],"GoU Funded")/10^9</f>
        <v>0</v>
      </c>
      <c r="R182" s="2">
        <v>120</v>
      </c>
      <c r="S182" s="29"/>
      <c r="T182" s="49">
        <f>PAProjects[[#This Row],[GOU 21/22]]+PAProjects[[#This Row],[DONOR 21/22]]</f>
        <v>120</v>
      </c>
      <c r="U182" s="2">
        <v>120</v>
      </c>
      <c r="V182" s="2"/>
      <c r="W182" s="49">
        <f>PAProjects[[#This Row],[GOU 22/23]]+PAProjects[[#This Row],[DONOR 22/23]]</f>
        <v>120</v>
      </c>
      <c r="X182" s="2">
        <v>120</v>
      </c>
      <c r="Y182" s="2"/>
      <c r="Z182" s="2">
        <f>X182+Y182</f>
        <v>120</v>
      </c>
      <c r="AA182" s="2">
        <v>120</v>
      </c>
      <c r="AB182" s="2"/>
      <c r="AC182" s="29">
        <f>PAProjects[[#This Row],[GOU 24/25]]+PAProjects[[#This Row],[DONOR 24/25]]</f>
        <v>120</v>
      </c>
    </row>
    <row r="183" spans="1:29" ht="15" hidden="1" customHeight="1" x14ac:dyDescent="0.25">
      <c r="A183" s="21" t="s">
        <v>540</v>
      </c>
      <c r="B183" s="2" t="s">
        <v>1332</v>
      </c>
      <c r="C183" s="2" t="e">
        <f ca="1">PAProjects5[[#This Row],[LINKING_CODE]]=_xlfn.CONCAT(PAProjects5[[#This Row],[Project Code]]," ",PAProjects5[[#This Row],[Project Name]])</f>
        <v>#NAME?</v>
      </c>
      <c r="D183" s="2" t="e">
        <f>VLOOKUP(PAProjects5[[#This Row],[LINKING_CODE]],MasterTable[[Project Code and Name ]],1,FALSE)</f>
        <v>#N/A</v>
      </c>
      <c r="E183" s="2" t="s">
        <v>511</v>
      </c>
      <c r="F183" s="2" t="s">
        <v>890</v>
      </c>
      <c r="G183" s="2" t="s">
        <v>125</v>
      </c>
      <c r="H183" s="2" t="s">
        <v>928</v>
      </c>
      <c r="I183" s="2" t="s">
        <v>921</v>
      </c>
      <c r="J183" s="2" t="s">
        <v>922</v>
      </c>
      <c r="K183" s="2" t="s">
        <v>1509</v>
      </c>
      <c r="L183" s="23">
        <v>42186</v>
      </c>
      <c r="M183" s="23">
        <v>44742</v>
      </c>
      <c r="N183" s="20">
        <v>118</v>
      </c>
      <c r="O183" s="20"/>
      <c r="P183" s="20">
        <f t="shared" si="18"/>
        <v>118</v>
      </c>
      <c r="Q183" s="20">
        <f>SUMIFS(MasterTable[Estimate of Arrears at end of the current FY 2020/21 (value)],MasterTable[[Project Code and Name ]],PAProjects5[[#This Row],[LINKING_CODE]],MasterTable[Funding Source],"GoU Funded")/10^9</f>
        <v>0</v>
      </c>
      <c r="R183" s="2">
        <v>61.34</v>
      </c>
      <c r="S183" s="2"/>
      <c r="T183" s="49">
        <f>PAProjects[[#This Row],[GOU 21/22]]+PAProjects[[#This Row],[DONOR 21/22]]</f>
        <v>61.34</v>
      </c>
      <c r="U183" s="2"/>
      <c r="V183" s="2"/>
      <c r="W183" s="49">
        <f>PAProjects[[#This Row],[GOU 22/23]]+PAProjects[[#This Row],[DONOR 22/23]]</f>
        <v>0</v>
      </c>
      <c r="X183" s="2"/>
      <c r="Y183" s="2"/>
      <c r="Z183" s="2">
        <f>X183+Y183</f>
        <v>0</v>
      </c>
      <c r="AA183" s="2"/>
      <c r="AB183" s="2"/>
      <c r="AC183" s="49">
        <f>PAProjects[[#This Row],[GOU 24/25]]+PAProjects[[#This Row],[DONOR 24/25]]</f>
        <v>0</v>
      </c>
    </row>
    <row r="184" spans="1:29" ht="15" hidden="1" customHeight="1" x14ac:dyDescent="0.25">
      <c r="A184" s="21" t="s">
        <v>542</v>
      </c>
      <c r="B184" s="2" t="s">
        <v>1333</v>
      </c>
      <c r="C184" s="2" t="e">
        <f ca="1">PAProjects5[[#This Row],[LINKING_CODE]]=_xlfn.CONCAT(PAProjects5[[#This Row],[Project Code]]," ",PAProjects5[[#This Row],[Project Name]])</f>
        <v>#NAME?</v>
      </c>
      <c r="D184" s="2" t="e">
        <f>VLOOKUP(PAProjects5[[#This Row],[LINKING_CODE]],MasterTable[[Project Code and Name ]],1,FALSE)</f>
        <v>#N/A</v>
      </c>
      <c r="E184" s="2" t="s">
        <v>511</v>
      </c>
      <c r="F184" s="2" t="s">
        <v>890</v>
      </c>
      <c r="G184" s="2" t="s">
        <v>142</v>
      </c>
      <c r="H184" s="2" t="s">
        <v>928</v>
      </c>
      <c r="I184" s="2" t="s">
        <v>923</v>
      </c>
      <c r="J184" s="2" t="s">
        <v>924</v>
      </c>
      <c r="K184" s="2" t="s">
        <v>1509</v>
      </c>
      <c r="L184" s="23">
        <v>44012</v>
      </c>
      <c r="M184" s="23">
        <v>45473</v>
      </c>
      <c r="N184" s="20">
        <v>2</v>
      </c>
      <c r="O184" s="20"/>
      <c r="P184" s="20">
        <f t="shared" si="18"/>
        <v>2</v>
      </c>
      <c r="Q184" s="20">
        <f>SUMIFS(MasterTable[Estimate of Arrears at end of the current FY 2020/21 (value)],MasterTable[[Project Code and Name ]],PAProjects5[[#This Row],[LINKING_CODE]],MasterTable[Funding Source],"GoU Funded")/10^9</f>
        <v>0</v>
      </c>
      <c r="R184" s="2">
        <v>1.3</v>
      </c>
      <c r="S184" s="2"/>
      <c r="T184" s="49">
        <f>PAProjects[[#This Row],[GOU 21/22]]+PAProjects[[#This Row],[DONOR 21/22]]</f>
        <v>1.3</v>
      </c>
      <c r="U184" s="2">
        <v>1.3</v>
      </c>
      <c r="V184" s="2"/>
      <c r="W184" s="49">
        <f>PAProjects[[#This Row],[GOU 22/23]]+PAProjects[[#This Row],[DONOR 22/23]]</f>
        <v>1.3</v>
      </c>
      <c r="X184" s="2">
        <v>1.3</v>
      </c>
      <c r="Y184" s="2"/>
      <c r="Z184" s="2">
        <f>X184+Y184</f>
        <v>1.3</v>
      </c>
      <c r="AA184" s="2"/>
      <c r="AB184" s="2"/>
      <c r="AC184" s="49">
        <f>PAProjects[[#This Row],[GOU 24/25]]+PAProjects[[#This Row],[DONOR 24/25]]</f>
        <v>0</v>
      </c>
    </row>
    <row r="185" spans="1:29" ht="15" hidden="1" customHeight="1" x14ac:dyDescent="0.25">
      <c r="A185" s="21" t="s">
        <v>546</v>
      </c>
      <c r="B185" s="2" t="s">
        <v>1334</v>
      </c>
      <c r="C185" s="2" t="e">
        <f ca="1">PAProjects5[[#This Row],[LINKING_CODE]]=_xlfn.CONCAT(PAProjects5[[#This Row],[Project Code]]," ",PAProjects5[[#This Row],[Project Name]])</f>
        <v>#NAME?</v>
      </c>
      <c r="D185" s="2" t="e">
        <f>VLOOKUP(PAProjects5[[#This Row],[LINKING_CODE]],MasterTable[[Project Code and Name ]],1,FALSE)</f>
        <v>#N/A</v>
      </c>
      <c r="E185" s="2" t="s">
        <v>527</v>
      </c>
      <c r="F185" s="2" t="s">
        <v>929</v>
      </c>
      <c r="G185" s="2" t="s">
        <v>145</v>
      </c>
      <c r="H185" s="2" t="s">
        <v>928</v>
      </c>
      <c r="I185" s="2" t="s">
        <v>826</v>
      </c>
      <c r="J185" s="2" t="s">
        <v>930</v>
      </c>
      <c r="K185" s="2" t="s">
        <v>1509</v>
      </c>
      <c r="L185" s="23">
        <v>42552</v>
      </c>
      <c r="M185" s="23">
        <v>44742</v>
      </c>
      <c r="N185" s="24">
        <v>135.03</v>
      </c>
      <c r="O185" s="20"/>
      <c r="P185" s="20">
        <f t="shared" si="18"/>
        <v>135.03</v>
      </c>
      <c r="Q185" s="20">
        <f>SUMIFS(MasterTable[Estimate of Arrears at end of the current FY 2020/21 (value)],MasterTable[[Project Code and Name ]],PAProjects5[[#This Row],[LINKING_CODE]],MasterTable[Funding Source],"GoU Funded")/10^9</f>
        <v>0</v>
      </c>
      <c r="R185" s="2">
        <v>10.519</v>
      </c>
      <c r="S185" s="2"/>
      <c r="T185" s="49">
        <f>PAProjects[[#This Row],[GOU 21/22]]+PAProjects[[#This Row],[DONOR 21/22]]</f>
        <v>10.519</v>
      </c>
      <c r="U185" s="2"/>
      <c r="V185" s="2"/>
      <c r="W185" s="49">
        <f>PAProjects[[#This Row],[GOU 22/23]]+PAProjects[[#This Row],[DONOR 22/23]]</f>
        <v>0</v>
      </c>
      <c r="X185" s="2"/>
      <c r="Y185" s="2"/>
      <c r="Z185" s="2"/>
      <c r="AA185" s="2"/>
      <c r="AB185" s="2"/>
      <c r="AC185" s="49">
        <f>PAProjects[[#This Row],[GOU 24/25]]+PAProjects[[#This Row],[DONOR 24/25]]</f>
        <v>0</v>
      </c>
    </row>
    <row r="186" spans="1:29" ht="15" hidden="1" customHeight="1" x14ac:dyDescent="0.25">
      <c r="A186" s="21" t="s">
        <v>578</v>
      </c>
      <c r="B186" s="2" t="s">
        <v>1335</v>
      </c>
      <c r="C186" s="2" t="e">
        <f ca="1">PAProjects5[[#This Row],[LINKING_CODE]]=_xlfn.CONCAT(PAProjects5[[#This Row],[Project Code]]," ",PAProjects5[[#This Row],[Project Name]])</f>
        <v>#NAME?</v>
      </c>
      <c r="D186" s="2" t="e">
        <f>VLOOKUP(PAProjects5[[#This Row],[LINKING_CODE]],MasterTable[[Project Code and Name ]],1,FALSE)</f>
        <v>#N/A</v>
      </c>
      <c r="E186" s="2" t="s">
        <v>531</v>
      </c>
      <c r="F186" s="2" t="s">
        <v>940</v>
      </c>
      <c r="G186" s="2" t="s">
        <v>941</v>
      </c>
      <c r="H186" s="2" t="s">
        <v>943</v>
      </c>
      <c r="I186" s="2" t="s">
        <v>856</v>
      </c>
      <c r="J186" s="2" t="s">
        <v>942</v>
      </c>
      <c r="K186" s="2" t="s">
        <v>1509</v>
      </c>
      <c r="L186" s="26">
        <v>43647</v>
      </c>
      <c r="M186" s="23">
        <v>44742</v>
      </c>
      <c r="N186" s="20"/>
      <c r="O186" s="25">
        <v>271.03906677800001</v>
      </c>
      <c r="P186" s="20">
        <f t="shared" si="18"/>
        <v>271.03906677800001</v>
      </c>
      <c r="Q186" s="20">
        <f>SUMIFS(MasterTable[Estimate of Arrears at end of the current FY 2020/21 (value)],MasterTable[[Project Code and Name ]],PAProjects5[[#This Row],[LINKING_CODE]],MasterTable[Funding Source],"GoU Funded")/10^9</f>
        <v>0</v>
      </c>
      <c r="R186" s="2">
        <v>45.35</v>
      </c>
      <c r="S186" s="2">
        <v>24.14</v>
      </c>
      <c r="T186" s="49">
        <f>PAProjects[[#This Row],[GOU 21/22]]+PAProjects[[#This Row],[DONOR 21/22]]</f>
        <v>69.490000000000009</v>
      </c>
      <c r="U186" s="2"/>
      <c r="V186" s="2"/>
      <c r="W186" s="49">
        <f>PAProjects[[#This Row],[GOU 22/23]]+PAProjects[[#This Row],[DONOR 22/23]]</f>
        <v>45.35</v>
      </c>
      <c r="X186" s="2"/>
      <c r="Y186" s="2"/>
      <c r="Z186" s="2"/>
      <c r="AA186" s="2"/>
      <c r="AB186" s="2"/>
      <c r="AC186" s="49">
        <f>PAProjects[[#This Row],[GOU 24/25]]+PAProjects[[#This Row],[DONOR 24/25]]</f>
        <v>0</v>
      </c>
    </row>
    <row r="187" spans="1:29" ht="15" hidden="1" customHeight="1" x14ac:dyDescent="0.25">
      <c r="A187" s="21" t="s">
        <v>581</v>
      </c>
      <c r="B187" s="2" t="s">
        <v>1336</v>
      </c>
      <c r="C187" s="2" t="e">
        <f ca="1">PAProjects5[[#This Row],[LINKING_CODE]]=_xlfn.CONCAT(PAProjects5[[#This Row],[Project Code]]," ",PAProjects5[[#This Row],[Project Name]])</f>
        <v>#NAME?</v>
      </c>
      <c r="D187" s="2" t="e">
        <f>VLOOKUP(PAProjects5[[#This Row],[LINKING_CODE]],MasterTable[[Project Code and Name ]],1,FALSE)</f>
        <v>#N/A</v>
      </c>
      <c r="E187" s="2" t="s">
        <v>516</v>
      </c>
      <c r="F187" s="2" t="s">
        <v>948</v>
      </c>
      <c r="G187" s="2" t="s">
        <v>126</v>
      </c>
      <c r="H187" s="2" t="s">
        <v>947</v>
      </c>
      <c r="I187" s="2" t="s">
        <v>949</v>
      </c>
      <c r="J187" s="2" t="s">
        <v>950</v>
      </c>
      <c r="K187" s="2" t="s">
        <v>1509</v>
      </c>
      <c r="L187" s="23">
        <v>44013</v>
      </c>
      <c r="M187" s="23">
        <v>44742</v>
      </c>
      <c r="N187" s="24"/>
      <c r="O187" s="20">
        <v>277.5</v>
      </c>
      <c r="P187" s="20">
        <f t="shared" si="18"/>
        <v>277.5</v>
      </c>
      <c r="Q187" s="20">
        <f>SUMIFS(MasterTable[Estimate of Arrears at end of the current FY 2020/21 (value)],MasterTable[[Project Code and Name ]],PAProjects5[[#This Row],[LINKING_CODE]],MasterTable[Funding Source],"GoU Funded")/10^9</f>
        <v>0</v>
      </c>
      <c r="R187" s="2">
        <v>1.62</v>
      </c>
      <c r="S187" s="2">
        <v>74.77</v>
      </c>
      <c r="T187" s="49">
        <f>PAProjects[[#This Row],[GOU 21/22]]+PAProjects[[#This Row],[DONOR 21/22]]</f>
        <v>76.39</v>
      </c>
      <c r="U187" s="2"/>
      <c r="V187" s="2"/>
      <c r="W187" s="49">
        <f>PAProjects[[#This Row],[GOU 22/23]]+PAProjects[[#This Row],[DONOR 22/23]]</f>
        <v>0</v>
      </c>
      <c r="X187" s="2"/>
      <c r="Y187" s="2"/>
      <c r="Z187" s="2">
        <f>X187+Y187</f>
        <v>0</v>
      </c>
      <c r="AA187" s="2"/>
      <c r="AB187" s="2"/>
      <c r="AC187" s="29">
        <f>PAProjects[[#This Row],[GOU 24/25]]+PAProjects[[#This Row],[DONOR 24/25]]</f>
        <v>0</v>
      </c>
    </row>
    <row r="188" spans="1:29" ht="15" hidden="1" customHeight="1" x14ac:dyDescent="0.25">
      <c r="A188" s="21" t="s">
        <v>583</v>
      </c>
      <c r="B188" s="2" t="s">
        <v>1337</v>
      </c>
      <c r="C188" s="2" t="e">
        <f ca="1">PAProjects5[[#This Row],[LINKING_CODE]]=_xlfn.CONCAT(PAProjects5[[#This Row],[Project Code]]," ",PAProjects5[[#This Row],[Project Name]])</f>
        <v>#NAME?</v>
      </c>
      <c r="D188" s="2" t="e">
        <f>VLOOKUP(PAProjects5[[#This Row],[LINKING_CODE]],MasterTable[[Project Code and Name ]],1,FALSE)</f>
        <v>#N/A</v>
      </c>
      <c r="E188" s="2" t="s">
        <v>516</v>
      </c>
      <c r="F188" s="2" t="s">
        <v>948</v>
      </c>
      <c r="G188" s="2" t="s">
        <v>126</v>
      </c>
      <c r="H188" s="2" t="s">
        <v>947</v>
      </c>
      <c r="I188" s="2" t="s">
        <v>951</v>
      </c>
      <c r="J188" s="2" t="s">
        <v>660</v>
      </c>
      <c r="K188" s="2" t="s">
        <v>1509</v>
      </c>
      <c r="L188" s="23">
        <v>44013</v>
      </c>
      <c r="M188" s="23">
        <v>45838</v>
      </c>
      <c r="N188" s="24"/>
      <c r="O188" s="20">
        <v>615.39</v>
      </c>
      <c r="P188" s="20">
        <f t="shared" si="18"/>
        <v>615.39</v>
      </c>
      <c r="Q188" s="20">
        <f>SUMIFS(MasterTable[Estimate of Arrears at end of the current FY 2020/21 (value)],MasterTable[[Project Code and Name ]],PAProjects5[[#This Row],[LINKING_CODE]],MasterTable[Funding Source],"GoU Funded")/10^9</f>
        <v>0</v>
      </c>
      <c r="R188" s="2">
        <v>4.46</v>
      </c>
      <c r="S188" s="2"/>
      <c r="T188" s="49">
        <f>PAProjects[[#This Row],[GOU 21/22]]+PAProjects[[#This Row],[DONOR 21/22]]</f>
        <v>4.46</v>
      </c>
      <c r="U188" s="2">
        <v>4.46</v>
      </c>
      <c r="V188" s="2"/>
      <c r="W188" s="49">
        <f>PAProjects[[#This Row],[GOU 22/23]]+PAProjects[[#This Row],[DONOR 22/23]]</f>
        <v>4.46</v>
      </c>
      <c r="X188" s="2">
        <v>4.46</v>
      </c>
      <c r="Y188" s="2"/>
      <c r="Z188" s="2">
        <f>X188+Y188</f>
        <v>4.46</v>
      </c>
      <c r="AA188" s="2">
        <v>4.46</v>
      </c>
      <c r="AB188" s="2"/>
      <c r="AC188" s="29">
        <f>PAProjects[[#This Row],[GOU 24/25]]+PAProjects[[#This Row],[DONOR 24/25]]</f>
        <v>4.46</v>
      </c>
    </row>
    <row r="189" spans="1:29" ht="15" hidden="1" customHeight="1" x14ac:dyDescent="0.25">
      <c r="A189" s="21" t="s">
        <v>584</v>
      </c>
      <c r="B189" s="2" t="s">
        <v>1338</v>
      </c>
      <c r="C189" s="2" t="e">
        <f ca="1">PAProjects5[[#This Row],[LINKING_CODE]]=_xlfn.CONCAT(PAProjects5[[#This Row],[Project Code]]," ",PAProjects5[[#This Row],[Project Name]])</f>
        <v>#NAME?</v>
      </c>
      <c r="D189" s="2" t="e">
        <f>VLOOKUP(PAProjects5[[#This Row],[LINKING_CODE]],MasterTable[[Project Code and Name ]],1,FALSE)</f>
        <v>#N/A</v>
      </c>
      <c r="E189" s="2" t="s">
        <v>525</v>
      </c>
      <c r="F189" s="2" t="s">
        <v>952</v>
      </c>
      <c r="G189" s="2" t="s">
        <v>32</v>
      </c>
      <c r="H189" s="2" t="s">
        <v>953</v>
      </c>
      <c r="I189" s="2" t="s">
        <v>811</v>
      </c>
      <c r="J189" s="2" t="s">
        <v>812</v>
      </c>
      <c r="K189" s="2" t="s">
        <v>1509</v>
      </c>
      <c r="L189" s="23">
        <v>39630</v>
      </c>
      <c r="M189" s="23">
        <v>45838</v>
      </c>
      <c r="N189" s="24">
        <v>137.74700000000001</v>
      </c>
      <c r="O189" s="20"/>
      <c r="P189" s="20">
        <f t="shared" si="18"/>
        <v>137.74700000000001</v>
      </c>
      <c r="Q189" s="20">
        <f>SUMIFS(MasterTable[Estimate of Arrears at end of the current FY 2020/21 (value)],MasterTable[[Project Code and Name ]],PAProjects5[[#This Row],[LINKING_CODE]],MasterTable[Funding Source],"GoU Funded")/10^9</f>
        <v>0</v>
      </c>
      <c r="R189" s="34">
        <v>2619.3530000000001</v>
      </c>
      <c r="S189" s="2"/>
      <c r="T189" s="49">
        <f>PAProjects[[#This Row],[GOU 21/22]]+PAProjects[[#This Row],[DONOR 21/22]]</f>
        <v>3275</v>
      </c>
      <c r="U189" s="34">
        <v>2619.3530000000001</v>
      </c>
      <c r="V189" s="2"/>
      <c r="W189" s="49">
        <f>PAProjects[[#This Row],[GOU 22/23]]+PAProjects[[#This Row],[DONOR 22/23]]</f>
        <v>3275</v>
      </c>
      <c r="X189" s="2"/>
      <c r="Y189" s="2"/>
      <c r="Z189" s="2">
        <f>X189+Y189</f>
        <v>0</v>
      </c>
      <c r="AA189" s="2"/>
      <c r="AB189" s="2"/>
      <c r="AC189" s="29">
        <f>PAProjects[[#This Row],[GOU 24/25]]+PAProjects[[#This Row],[DONOR 24/25]]</f>
        <v>3275</v>
      </c>
    </row>
    <row r="190" spans="1:29" ht="15" hidden="1" customHeight="1" x14ac:dyDescent="0.25">
      <c r="A190" s="21" t="s">
        <v>586</v>
      </c>
      <c r="B190" s="2" t="s">
        <v>1339</v>
      </c>
      <c r="C190" s="2" t="e">
        <f ca="1">PAProjects5[[#This Row],[LINKING_CODE]]=_xlfn.CONCAT(PAProjects5[[#This Row],[Project Code]]," ",PAProjects5[[#This Row],[Project Name]])</f>
        <v>#NAME?</v>
      </c>
      <c r="D190" s="2" t="e">
        <f>VLOOKUP(PAProjects5[[#This Row],[LINKING_CODE]],MasterTable[[Project Code and Name ]],1,FALSE)</f>
        <v>#N/A</v>
      </c>
      <c r="E190" s="2" t="s">
        <v>525</v>
      </c>
      <c r="F190" s="2" t="s">
        <v>952</v>
      </c>
      <c r="G190" s="2" t="s">
        <v>32</v>
      </c>
      <c r="H190" s="2" t="s">
        <v>953</v>
      </c>
      <c r="I190" s="2" t="s">
        <v>814</v>
      </c>
      <c r="J190" s="2" t="s">
        <v>954</v>
      </c>
      <c r="K190" s="2" t="s">
        <v>1509</v>
      </c>
      <c r="L190" s="23">
        <v>39995</v>
      </c>
      <c r="M190" s="23">
        <v>44742</v>
      </c>
      <c r="N190" s="24"/>
      <c r="O190" s="25">
        <v>353.54700000000003</v>
      </c>
      <c r="P190" s="20">
        <f t="shared" si="18"/>
        <v>353.54700000000003</v>
      </c>
      <c r="Q190" s="20">
        <f>SUMIFS(MasterTable[Estimate of Arrears at end of the current FY 2020/21 (value)],MasterTable[[Project Code and Name ]],PAProjects5[[#This Row],[LINKING_CODE]],MasterTable[Funding Source],"GoU Funded")/10^9</f>
        <v>0</v>
      </c>
      <c r="R190" s="2"/>
      <c r="S190" s="2">
        <v>362.93299999999999</v>
      </c>
      <c r="T190" s="49">
        <f>PAProjects[[#This Row],[GOU 21/22]]+PAProjects[[#This Row],[DONOR 21/22]]</f>
        <v>362.93299999999999</v>
      </c>
      <c r="U190" s="2"/>
      <c r="V190" s="2"/>
      <c r="W190" s="49">
        <f>PAProjects[[#This Row],[GOU 22/23]]+PAProjects[[#This Row],[DONOR 22/23]]</f>
        <v>0</v>
      </c>
      <c r="X190" s="2"/>
      <c r="Y190" s="2"/>
      <c r="Z190" s="2"/>
      <c r="AA190" s="2"/>
      <c r="AB190" s="2"/>
      <c r="AC190" s="49">
        <f>PAProjects[[#This Row],[GOU 24/25]]+PAProjects[[#This Row],[DONOR 24/25]]</f>
        <v>0</v>
      </c>
    </row>
    <row r="191" spans="1:29" ht="15" hidden="1" customHeight="1" x14ac:dyDescent="0.25">
      <c r="A191" s="21" t="s">
        <v>588</v>
      </c>
      <c r="B191" s="2" t="s">
        <v>1340</v>
      </c>
      <c r="C191" s="2" t="e">
        <f ca="1">PAProjects5[[#This Row],[LINKING_CODE]]=_xlfn.CONCAT(PAProjects5[[#This Row],[Project Code]]," ",PAProjects5[[#This Row],[Project Name]])</f>
        <v>#NAME?</v>
      </c>
      <c r="D191" s="2" t="e">
        <f>VLOOKUP(PAProjects5[[#This Row],[LINKING_CODE]],MasterTable[[Project Code and Name ]],1,FALSE)</f>
        <v>#N/A</v>
      </c>
      <c r="E191" s="2" t="s">
        <v>525</v>
      </c>
      <c r="F191" s="2" t="s">
        <v>952</v>
      </c>
      <c r="G191" s="2" t="s">
        <v>32</v>
      </c>
      <c r="H191" s="21" t="s">
        <v>953</v>
      </c>
      <c r="I191" s="21" t="s">
        <v>955</v>
      </c>
      <c r="J191" s="2" t="s">
        <v>956</v>
      </c>
      <c r="K191" s="2" t="s">
        <v>1509</v>
      </c>
      <c r="L191" s="23">
        <v>38899</v>
      </c>
      <c r="M191" s="23">
        <v>44742</v>
      </c>
      <c r="N191" s="24"/>
      <c r="O191" s="25"/>
      <c r="P191" s="20">
        <f t="shared" si="18"/>
        <v>0</v>
      </c>
      <c r="Q191" s="20">
        <f>SUMIFS(MasterTable[Estimate of Arrears at end of the current FY 2020/21 (value)],MasterTable[[Project Code and Name ]],PAProjects5[[#This Row],[LINKING_CODE]],MasterTable[Funding Source],"GoU Funded")/10^9</f>
        <v>0</v>
      </c>
      <c r="R191" s="2"/>
      <c r="S191" s="2"/>
      <c r="T191" s="49">
        <f>PAProjects[[#This Row],[GOU 21/22]]+PAProjects[[#This Row],[DONOR 21/22]]</f>
        <v>11.8</v>
      </c>
      <c r="U191" s="2"/>
      <c r="V191" s="2"/>
      <c r="W191" s="49">
        <f>PAProjects[[#This Row],[GOU 22/23]]+PAProjects[[#This Row],[DONOR 22/23]]</f>
        <v>17.178000000000001</v>
      </c>
      <c r="X191" s="2"/>
      <c r="Y191" s="2"/>
      <c r="Z191" s="2"/>
      <c r="AA191" s="2"/>
      <c r="AB191" s="2"/>
      <c r="AC191" s="49">
        <f>PAProjects[[#This Row],[GOU 24/25]]+PAProjects[[#This Row],[DONOR 24/25]]</f>
        <v>12.298</v>
      </c>
    </row>
    <row r="192" spans="1:29" ht="15" hidden="1" customHeight="1" x14ac:dyDescent="0.25">
      <c r="A192" s="21" t="s">
        <v>599</v>
      </c>
      <c r="B192" s="2" t="s">
        <v>1341</v>
      </c>
      <c r="C192" s="2" t="e">
        <f ca="1">PAProjects5[[#This Row],[LINKING_CODE]]=_xlfn.CONCAT(PAProjects5[[#This Row],[Project Code]]," ",PAProjects5[[#This Row],[Project Name]])</f>
        <v>#NAME?</v>
      </c>
      <c r="D192" s="2" t="e">
        <f>VLOOKUP(PAProjects5[[#This Row],[LINKING_CODE]],MasterTable[[Project Code and Name ]],1,FALSE)</f>
        <v>#N/A</v>
      </c>
      <c r="E192" s="2" t="s">
        <v>527</v>
      </c>
      <c r="F192" s="2" t="s">
        <v>929</v>
      </c>
      <c r="G192" s="2" t="s">
        <v>101</v>
      </c>
      <c r="H192" s="2" t="s">
        <v>953</v>
      </c>
      <c r="I192" s="2" t="s">
        <v>829</v>
      </c>
      <c r="J192" s="2" t="s">
        <v>959</v>
      </c>
      <c r="K192" s="2" t="s">
        <v>1509</v>
      </c>
      <c r="L192" s="23">
        <v>44012</v>
      </c>
      <c r="M192" s="23">
        <v>44742</v>
      </c>
      <c r="N192" s="30">
        <v>20</v>
      </c>
      <c r="O192" s="20"/>
      <c r="P192" s="20">
        <f t="shared" si="18"/>
        <v>20</v>
      </c>
      <c r="Q192" s="20">
        <f>SUMIFS(MasterTable[Estimate of Arrears at end of the current FY 2020/21 (value)],MasterTable[[Project Code and Name ]],PAProjects5[[#This Row],[LINKING_CODE]],MasterTable[Funding Source],"GoU Funded")/10^9</f>
        <v>0</v>
      </c>
      <c r="R192" s="2">
        <v>20</v>
      </c>
      <c r="S192" s="2"/>
      <c r="T192" s="49">
        <f>PAProjects[[#This Row],[GOU 21/22]]+PAProjects[[#This Row],[DONOR 21/22]]</f>
        <v>20</v>
      </c>
      <c r="U192" s="2"/>
      <c r="V192" s="2"/>
      <c r="W192" s="49">
        <f>PAProjects[[#This Row],[GOU 22/23]]+PAProjects[[#This Row],[DONOR 22/23]]</f>
        <v>0</v>
      </c>
      <c r="X192" s="2"/>
      <c r="Y192" s="2"/>
      <c r="Z192" s="2"/>
      <c r="AA192" s="2"/>
      <c r="AB192" s="2"/>
      <c r="AC192" s="49">
        <f>PAProjects[[#This Row],[GOU 24/25]]+PAProjects[[#This Row],[DONOR 24/25]]</f>
        <v>0</v>
      </c>
    </row>
    <row r="193" spans="1:29" ht="15" hidden="1" customHeight="1" x14ac:dyDescent="0.25">
      <c r="A193" s="21" t="s">
        <v>601</v>
      </c>
      <c r="B193" s="2" t="s">
        <v>1342</v>
      </c>
      <c r="C193" s="2" t="e">
        <f ca="1">PAProjects5[[#This Row],[LINKING_CODE]]=_xlfn.CONCAT(PAProjects5[[#This Row],[Project Code]]," ",PAProjects5[[#This Row],[Project Name]])</f>
        <v>#NAME?</v>
      </c>
      <c r="D193" s="2" t="e">
        <f>VLOOKUP(PAProjects5[[#This Row],[LINKING_CODE]],MasterTable[[Project Code and Name ]],1,FALSE)</f>
        <v>#N/A</v>
      </c>
      <c r="E193" s="2" t="s">
        <v>527</v>
      </c>
      <c r="F193" s="2" t="s">
        <v>929</v>
      </c>
      <c r="G193" s="2" t="s">
        <v>133</v>
      </c>
      <c r="H193" s="2" t="s">
        <v>953</v>
      </c>
      <c r="I193" s="2" t="s">
        <v>819</v>
      </c>
      <c r="J193" s="2" t="s">
        <v>820</v>
      </c>
      <c r="K193" s="2" t="s">
        <v>1509</v>
      </c>
      <c r="L193" s="23">
        <v>42917</v>
      </c>
      <c r="M193" s="23">
        <v>44742</v>
      </c>
      <c r="N193" s="24">
        <v>47.256999999999998</v>
      </c>
      <c r="O193" s="20"/>
      <c r="P193" s="20">
        <f t="shared" si="18"/>
        <v>47.256999999999998</v>
      </c>
      <c r="Q193" s="20">
        <f>SUMIFS(MasterTable[Estimate of Arrears at end of the current FY 2020/21 (value)],MasterTable[[Project Code and Name ]],PAProjects5[[#This Row],[LINKING_CODE]],MasterTable[Funding Source],"GoU Funded")/10^9</f>
        <v>0</v>
      </c>
      <c r="R193" s="2">
        <v>0.6</v>
      </c>
      <c r="S193" s="2"/>
      <c r="T193" s="49">
        <f>PAProjects[[#This Row],[GOU 21/22]]+PAProjects[[#This Row],[DONOR 21/22]]</f>
        <v>0.6</v>
      </c>
      <c r="U193" s="2"/>
      <c r="V193" s="2"/>
      <c r="W193" s="49">
        <f>PAProjects[[#This Row],[GOU 22/23]]+PAProjects[[#This Row],[DONOR 22/23]]</f>
        <v>0</v>
      </c>
      <c r="X193" s="2"/>
      <c r="Y193" s="2"/>
      <c r="Z193" s="2"/>
      <c r="AA193" s="2"/>
      <c r="AB193" s="2"/>
      <c r="AC193" s="49">
        <f>PAProjects[[#This Row],[GOU 24/25]]+PAProjects[[#This Row],[DONOR 24/25]]</f>
        <v>0</v>
      </c>
    </row>
    <row r="194" spans="1:29" ht="15" hidden="1" customHeight="1" x14ac:dyDescent="0.25">
      <c r="A194" s="21" t="s">
        <v>602</v>
      </c>
      <c r="B194" s="2" t="s">
        <v>1343</v>
      </c>
      <c r="C194" s="2" t="e">
        <f ca="1">PAProjects5[[#This Row],[LINKING_CODE]]=_xlfn.CONCAT(PAProjects5[[#This Row],[Project Code]]," ",PAProjects5[[#This Row],[Project Name]])</f>
        <v>#NAME?</v>
      </c>
      <c r="D194" s="2" t="e">
        <f>VLOOKUP(PAProjects5[[#This Row],[LINKING_CODE]],MasterTable[[Project Code and Name ]],1,FALSE)</f>
        <v>#N/A</v>
      </c>
      <c r="E194" s="2" t="s">
        <v>527</v>
      </c>
      <c r="F194" s="2" t="s">
        <v>929</v>
      </c>
      <c r="G194" s="2" t="s">
        <v>144</v>
      </c>
      <c r="H194" s="2" t="s">
        <v>953</v>
      </c>
      <c r="I194" s="2" t="s">
        <v>821</v>
      </c>
      <c r="J194" s="2" t="s">
        <v>822</v>
      </c>
      <c r="K194" s="2" t="s">
        <v>1509</v>
      </c>
      <c r="L194" s="23">
        <v>40360</v>
      </c>
      <c r="M194" s="23">
        <v>44742</v>
      </c>
      <c r="N194" s="24">
        <v>1033.6669999999999</v>
      </c>
      <c r="O194" s="20"/>
      <c r="P194" s="20">
        <f t="shared" si="18"/>
        <v>1033.6669999999999</v>
      </c>
      <c r="Q194" s="20">
        <f>SUMIFS(MasterTable[Estimate of Arrears at end of the current FY 2020/21 (value)],MasterTable[[Project Code and Name ]],PAProjects5[[#This Row],[LINKING_CODE]],MasterTable[Funding Source],"GoU Funded")/10^9</f>
        <v>0</v>
      </c>
      <c r="R194" s="2">
        <v>55.8</v>
      </c>
      <c r="S194" s="2"/>
      <c r="T194" s="49">
        <f>PAProjects[[#This Row],[GOU 21/22]]+PAProjects[[#This Row],[DONOR 21/22]]</f>
        <v>55.8</v>
      </c>
      <c r="U194" s="2"/>
      <c r="V194" s="2"/>
      <c r="W194" s="49">
        <f>PAProjects[[#This Row],[GOU 22/23]]+PAProjects[[#This Row],[DONOR 22/23]]</f>
        <v>0</v>
      </c>
      <c r="X194" s="2"/>
      <c r="Y194" s="2"/>
      <c r="Z194" s="2"/>
      <c r="AA194" s="2"/>
      <c r="AB194" s="2"/>
      <c r="AC194" s="49">
        <f>PAProjects[[#This Row],[GOU 24/25]]+PAProjects[[#This Row],[DONOR 24/25]]</f>
        <v>0</v>
      </c>
    </row>
    <row r="195" spans="1:29" ht="15" hidden="1" customHeight="1" x14ac:dyDescent="0.25">
      <c r="A195" s="21" t="s">
        <v>620</v>
      </c>
      <c r="B195" s="2" t="s">
        <v>1344</v>
      </c>
      <c r="C195" s="2" t="e">
        <f ca="1">PAProjects5[[#This Row],[LINKING_CODE]]=_xlfn.CONCAT(PAProjects5[[#This Row],[Project Code]]," ",PAProjects5[[#This Row],[Project Name]])</f>
        <v>#NAME?</v>
      </c>
      <c r="D195" s="2" t="e">
        <f>VLOOKUP(PAProjects5[[#This Row],[LINKING_CODE]],MasterTable[[Project Code and Name ]],1,FALSE)</f>
        <v>#N/A</v>
      </c>
      <c r="E195" s="2" t="s">
        <v>519</v>
      </c>
      <c r="F195" s="2" t="s">
        <v>960</v>
      </c>
      <c r="G195" s="2" t="s">
        <v>128</v>
      </c>
      <c r="H195" s="2" t="s">
        <v>962</v>
      </c>
      <c r="I195" s="2" t="s">
        <v>673</v>
      </c>
      <c r="J195" s="2" t="s">
        <v>674</v>
      </c>
      <c r="K195" s="2" t="s">
        <v>1509</v>
      </c>
      <c r="L195" s="23">
        <v>42186</v>
      </c>
      <c r="M195" s="23">
        <v>44742</v>
      </c>
      <c r="N195" s="24">
        <v>37.143000000000001</v>
      </c>
      <c r="O195" s="20"/>
      <c r="P195" s="20">
        <f t="shared" si="18"/>
        <v>37.143000000000001</v>
      </c>
      <c r="Q195" s="20">
        <f>SUMIFS(MasterTable[Estimate of Arrears at end of the current FY 2020/21 (value)],MasterTable[[Project Code and Name ]],PAProjects5[[#This Row],[LINKING_CODE]],MasterTable[Funding Source],"GoU Funded")/10^9</f>
        <v>0</v>
      </c>
      <c r="R195" s="2">
        <v>11.23</v>
      </c>
      <c r="S195" s="2"/>
      <c r="T195" s="49">
        <f>PAProjects[[#This Row],[GOU 21/22]]+PAProjects[[#This Row],[DONOR 21/22]]</f>
        <v>11.23</v>
      </c>
      <c r="U195" s="2"/>
      <c r="V195" s="2"/>
      <c r="W195" s="49">
        <f>PAProjects[[#This Row],[GOU 22/23]]+PAProjects[[#This Row],[DONOR 22/23]]</f>
        <v>0</v>
      </c>
      <c r="X195" s="2"/>
      <c r="Y195" s="2"/>
      <c r="Z195" s="2">
        <f t="shared" ref="Z195:Z206" si="19">X195+Y195</f>
        <v>0</v>
      </c>
      <c r="AA195" s="2"/>
      <c r="AB195" s="2"/>
      <c r="AC195" s="49">
        <f>PAProjects[[#This Row],[GOU 24/25]]+PAProjects[[#This Row],[DONOR 24/25]]</f>
        <v>0</v>
      </c>
    </row>
    <row r="196" spans="1:29" ht="15" hidden="1" customHeight="1" x14ac:dyDescent="0.25">
      <c r="A196" s="21" t="s">
        <v>626</v>
      </c>
      <c r="B196" s="2" t="s">
        <v>1345</v>
      </c>
      <c r="C196" s="2" t="e">
        <f ca="1">PAProjects5[[#This Row],[LINKING_CODE]]=_xlfn.CONCAT(PAProjects5[[#This Row],[Project Code]]," ",PAProjects5[[#This Row],[Project Name]])</f>
        <v>#NAME?</v>
      </c>
      <c r="D196" s="2" t="e">
        <f>VLOOKUP(PAProjects5[[#This Row],[LINKING_CODE]],MasterTable[[Project Code and Name ]],1,FALSE)</f>
        <v>#N/A</v>
      </c>
      <c r="E196" s="2" t="s">
        <v>519</v>
      </c>
      <c r="F196" s="2" t="s">
        <v>960</v>
      </c>
      <c r="G196" s="2" t="s">
        <v>301</v>
      </c>
      <c r="H196" s="2" t="s">
        <v>962</v>
      </c>
      <c r="I196" s="2" t="s">
        <v>676</v>
      </c>
      <c r="J196" s="2" t="s">
        <v>974</v>
      </c>
      <c r="K196" s="2" t="s">
        <v>1509</v>
      </c>
      <c r="L196" s="23">
        <v>42186</v>
      </c>
      <c r="M196" s="23">
        <v>44742</v>
      </c>
      <c r="N196" s="20">
        <v>57.779672497</v>
      </c>
      <c r="O196" s="20"/>
      <c r="P196" s="20">
        <f t="shared" si="18"/>
        <v>57.779672497</v>
      </c>
      <c r="Q196" s="20">
        <f>SUMIFS(MasterTable[Estimate of Arrears at end of the current FY 2020/21 (value)],MasterTable[[Project Code and Name ]],PAProjects5[[#This Row],[LINKING_CODE]],MasterTable[Funding Source],"GoU Funded")/10^9</f>
        <v>0</v>
      </c>
      <c r="R196" s="2">
        <v>6.85</v>
      </c>
      <c r="S196" s="2"/>
      <c r="T196" s="49">
        <f>PAProjects[[#This Row],[GOU 21/22]]+PAProjects[[#This Row],[DONOR 21/22]]</f>
        <v>6.85</v>
      </c>
      <c r="U196" s="2"/>
      <c r="V196" s="2"/>
      <c r="W196" s="49">
        <f>PAProjects[[#This Row],[GOU 22/23]]+PAProjects[[#This Row],[DONOR 22/23]]</f>
        <v>0</v>
      </c>
      <c r="X196" s="2"/>
      <c r="Y196" s="2"/>
      <c r="Z196" s="2">
        <f t="shared" si="19"/>
        <v>0</v>
      </c>
      <c r="AA196" s="2"/>
      <c r="AB196" s="2"/>
      <c r="AC196" s="49">
        <f>PAProjects[[#This Row],[GOU 24/25]]+PAProjects[[#This Row],[DONOR 24/25]]</f>
        <v>0</v>
      </c>
    </row>
    <row r="197" spans="1:29" ht="15" hidden="1" customHeight="1" x14ac:dyDescent="0.25">
      <c r="A197" s="21" t="s">
        <v>627</v>
      </c>
      <c r="B197" s="2" t="s">
        <v>1346</v>
      </c>
      <c r="C197" s="2" t="e">
        <f ca="1">PAProjects5[[#This Row],[LINKING_CODE]]=_xlfn.CONCAT(PAProjects5[[#This Row],[Project Code]]," ",PAProjects5[[#This Row],[Project Name]])</f>
        <v>#NAME?</v>
      </c>
      <c r="D197" s="2" t="e">
        <f>VLOOKUP(PAProjects5[[#This Row],[LINKING_CODE]],MasterTable[[Project Code and Name ]],1,FALSE)</f>
        <v>#N/A</v>
      </c>
      <c r="E197" s="2" t="s">
        <v>519</v>
      </c>
      <c r="F197" s="2" t="s">
        <v>960</v>
      </c>
      <c r="G197" s="2" t="s">
        <v>303</v>
      </c>
      <c r="H197" s="2" t="s">
        <v>962</v>
      </c>
      <c r="I197" s="2" t="s">
        <v>677</v>
      </c>
      <c r="J197" s="2" t="s">
        <v>678</v>
      </c>
      <c r="K197" s="2" t="s">
        <v>1509</v>
      </c>
      <c r="L197" s="23">
        <v>42186</v>
      </c>
      <c r="M197" s="23">
        <v>44742</v>
      </c>
      <c r="N197" s="20">
        <v>28</v>
      </c>
      <c r="O197" s="20"/>
      <c r="P197" s="20">
        <f t="shared" si="18"/>
        <v>28</v>
      </c>
      <c r="Q197" s="20">
        <f>SUMIFS(MasterTable[Estimate of Arrears at end of the current FY 2020/21 (value)],MasterTable[[Project Code and Name ]],PAProjects5[[#This Row],[LINKING_CODE]],MasterTable[Funding Source],"GoU Funded")/10^9</f>
        <v>0</v>
      </c>
      <c r="R197" s="2">
        <v>120.2</v>
      </c>
      <c r="S197" s="2"/>
      <c r="T197" s="49">
        <f>PAProjects[[#This Row],[GOU 21/22]]+PAProjects[[#This Row],[DONOR 21/22]]</f>
        <v>120.2</v>
      </c>
      <c r="U197" s="2"/>
      <c r="V197" s="2"/>
      <c r="W197" s="49">
        <f>PAProjects[[#This Row],[GOU 22/23]]+PAProjects[[#This Row],[DONOR 22/23]]</f>
        <v>0</v>
      </c>
      <c r="X197" s="2"/>
      <c r="Y197" s="2"/>
      <c r="Z197" s="2">
        <f t="shared" si="19"/>
        <v>0</v>
      </c>
      <c r="AA197" s="2"/>
      <c r="AB197" s="2"/>
      <c r="AC197" s="49">
        <f>PAProjects[[#This Row],[GOU 24/25]]+PAProjects[[#This Row],[DONOR 24/25]]</f>
        <v>0</v>
      </c>
    </row>
    <row r="198" spans="1:29" ht="15" hidden="1" customHeight="1" x14ac:dyDescent="0.25">
      <c r="A198" s="21" t="s">
        <v>644</v>
      </c>
      <c r="B198" s="2" t="s">
        <v>1347</v>
      </c>
      <c r="C198" s="2" t="e">
        <f ca="1">PAProjects5[[#This Row],[LINKING_CODE]]=_xlfn.CONCAT(PAProjects5[[#This Row],[Project Code]]," ",PAProjects5[[#This Row],[Project Name]])</f>
        <v>#NAME?</v>
      </c>
      <c r="D198" s="2" t="e">
        <f>VLOOKUP(PAProjects5[[#This Row],[LINKING_CODE]],MasterTable[[Project Code and Name ]],1,FALSE)</f>
        <v>#N/A</v>
      </c>
      <c r="E198" s="2" t="s">
        <v>520</v>
      </c>
      <c r="F198" s="2" t="s">
        <v>975</v>
      </c>
      <c r="G198" s="2" t="s">
        <v>114</v>
      </c>
      <c r="H198" s="2" t="s">
        <v>962</v>
      </c>
      <c r="I198" s="2" t="s">
        <v>703</v>
      </c>
      <c r="J198" s="2" t="s">
        <v>704</v>
      </c>
      <c r="K198" s="2" t="s">
        <v>1509</v>
      </c>
      <c r="L198" s="23">
        <v>40360</v>
      </c>
      <c r="M198" s="23">
        <v>44742</v>
      </c>
      <c r="N198" s="24">
        <v>78.599000000000004</v>
      </c>
      <c r="O198" s="20"/>
      <c r="P198" s="20">
        <f t="shared" si="18"/>
        <v>78.599000000000004</v>
      </c>
      <c r="Q198" s="20">
        <f>SUMIFS(MasterTable[Estimate of Arrears at end of the current FY 2020/21 (value)],MasterTable[[Project Code and Name ]],PAProjects5[[#This Row],[LINKING_CODE]],MasterTable[Funding Source],"GoU Funded")/10^9</f>
        <v>0</v>
      </c>
      <c r="R198" s="2">
        <v>10.609</v>
      </c>
      <c r="S198" s="2"/>
      <c r="T198" s="49">
        <f>PAProjects[[#This Row],[GOU 21/22]]+PAProjects[[#This Row],[DONOR 21/22]]</f>
        <v>10.609</v>
      </c>
      <c r="U198" s="2"/>
      <c r="V198" s="2"/>
      <c r="W198" s="49">
        <f>PAProjects[[#This Row],[GOU 22/23]]+PAProjects[[#This Row],[DONOR 22/23]]</f>
        <v>0</v>
      </c>
      <c r="X198" s="2"/>
      <c r="Y198" s="2"/>
      <c r="Z198" s="2">
        <f t="shared" si="19"/>
        <v>0</v>
      </c>
      <c r="AA198" s="2"/>
      <c r="AB198" s="2"/>
      <c r="AC198" s="49">
        <f>PAProjects[[#This Row],[GOU 24/25]]+PAProjects[[#This Row],[DONOR 24/25]]</f>
        <v>0</v>
      </c>
    </row>
    <row r="199" spans="1:29" ht="15" hidden="1" customHeight="1" x14ac:dyDescent="0.25">
      <c r="A199" s="21" t="s">
        <v>646</v>
      </c>
      <c r="B199" s="2" t="s">
        <v>1348</v>
      </c>
      <c r="C199" s="2" t="e">
        <f ca="1">PAProjects5[[#This Row],[LINKING_CODE]]=_xlfn.CONCAT(PAProjects5[[#This Row],[Project Code]]," ",PAProjects5[[#This Row],[Project Name]])</f>
        <v>#NAME?</v>
      </c>
      <c r="D199" s="2" t="e">
        <f>VLOOKUP(PAProjects5[[#This Row],[LINKING_CODE]],MasterTable[[Project Code and Name ]],1,FALSE)</f>
        <v>#N/A</v>
      </c>
      <c r="E199" s="2" t="s">
        <v>520</v>
      </c>
      <c r="F199" s="2" t="s">
        <v>975</v>
      </c>
      <c r="G199" s="2" t="s">
        <v>114</v>
      </c>
      <c r="H199" s="2" t="s">
        <v>962</v>
      </c>
      <c r="I199" s="2" t="s">
        <v>705</v>
      </c>
      <c r="J199" s="2" t="s">
        <v>706</v>
      </c>
      <c r="K199" s="2" t="s">
        <v>1509</v>
      </c>
      <c r="L199" s="23">
        <v>42186</v>
      </c>
      <c r="M199" s="23">
        <v>44742</v>
      </c>
      <c r="N199" s="24">
        <v>10.8</v>
      </c>
      <c r="O199" s="25">
        <v>108.509</v>
      </c>
      <c r="P199" s="20">
        <f t="shared" si="18"/>
        <v>119.309</v>
      </c>
      <c r="Q199" s="20">
        <f>SUMIFS(MasterTable[Estimate of Arrears at end of the current FY 2020/21 (value)],MasterTable[[Project Code and Name ]],PAProjects5[[#This Row],[LINKING_CODE]],MasterTable[Funding Source],"GoU Funded")/10^9</f>
        <v>0</v>
      </c>
      <c r="R199" s="2">
        <v>1.98</v>
      </c>
      <c r="S199" s="2">
        <v>57.28</v>
      </c>
      <c r="T199" s="49">
        <f>PAProjects[[#This Row],[GOU 21/22]]+PAProjects[[#This Row],[DONOR 21/22]]</f>
        <v>59.26</v>
      </c>
      <c r="U199" s="2"/>
      <c r="V199" s="2"/>
      <c r="W199" s="49">
        <f>PAProjects[[#This Row],[GOU 22/23]]+PAProjects[[#This Row],[DONOR 22/23]]</f>
        <v>0</v>
      </c>
      <c r="X199" s="2"/>
      <c r="Y199" s="2"/>
      <c r="Z199" s="2">
        <f t="shared" si="19"/>
        <v>0</v>
      </c>
      <c r="AA199" s="2"/>
      <c r="AB199" s="2"/>
      <c r="AC199" s="49">
        <f>PAProjects[[#This Row],[GOU 24/25]]+PAProjects[[#This Row],[DONOR 24/25]]</f>
        <v>0</v>
      </c>
    </row>
    <row r="200" spans="1:29" ht="15" hidden="1" customHeight="1" x14ac:dyDescent="0.25">
      <c r="A200" s="21" t="s">
        <v>648</v>
      </c>
      <c r="B200" s="2" t="s">
        <v>1349</v>
      </c>
      <c r="C200" s="2" t="e">
        <f ca="1">PAProjects5[[#This Row],[LINKING_CODE]]=_xlfn.CONCAT(PAProjects5[[#This Row],[Project Code]]," ",PAProjects5[[#This Row],[Project Name]])</f>
        <v>#NAME?</v>
      </c>
      <c r="D200" s="2" t="e">
        <f>VLOOKUP(PAProjects5[[#This Row],[LINKING_CODE]],MasterTable[[Project Code and Name ]],1,FALSE)</f>
        <v>#N/A</v>
      </c>
      <c r="E200" s="2" t="s">
        <v>520</v>
      </c>
      <c r="F200" s="2" t="s">
        <v>975</v>
      </c>
      <c r="G200" s="2" t="s">
        <v>114</v>
      </c>
      <c r="H200" s="2" t="s">
        <v>962</v>
      </c>
      <c r="I200" s="2" t="s">
        <v>714</v>
      </c>
      <c r="J200" s="2" t="s">
        <v>715</v>
      </c>
      <c r="K200" s="2" t="s">
        <v>1509</v>
      </c>
      <c r="L200" s="23">
        <v>43647</v>
      </c>
      <c r="M200" s="23">
        <v>44742</v>
      </c>
      <c r="N200" s="24">
        <v>23</v>
      </c>
      <c r="O200" s="20"/>
      <c r="P200" s="20">
        <f t="shared" si="18"/>
        <v>23</v>
      </c>
      <c r="Q200" s="20">
        <f>SUMIFS(MasterTable[Estimate of Arrears at end of the current FY 2020/21 (value)],MasterTable[[Project Code and Name ]],PAProjects5[[#This Row],[LINKING_CODE]],MasterTable[Funding Source],"GoU Funded")/10^9</f>
        <v>0</v>
      </c>
      <c r="R200" s="2">
        <v>0.3</v>
      </c>
      <c r="S200" s="2"/>
      <c r="T200" s="49">
        <f>PAProjects[[#This Row],[GOU 21/22]]+PAProjects[[#This Row],[DONOR 21/22]]</f>
        <v>0.3</v>
      </c>
      <c r="U200" s="2"/>
      <c r="V200" s="2"/>
      <c r="W200" s="49">
        <f>PAProjects[[#This Row],[GOU 22/23]]+PAProjects[[#This Row],[DONOR 22/23]]</f>
        <v>0</v>
      </c>
      <c r="X200" s="2"/>
      <c r="Y200" s="2"/>
      <c r="Z200" s="2">
        <f t="shared" si="19"/>
        <v>0</v>
      </c>
      <c r="AA200" s="2"/>
      <c r="AB200" s="2"/>
      <c r="AC200" s="49">
        <f>PAProjects[[#This Row],[GOU 24/25]]+PAProjects[[#This Row],[DONOR 24/25]]</f>
        <v>0</v>
      </c>
    </row>
    <row r="201" spans="1:29" ht="15" hidden="1" customHeight="1" x14ac:dyDescent="0.25">
      <c r="A201" s="21" t="s">
        <v>649</v>
      </c>
      <c r="B201" s="2" t="s">
        <v>1350</v>
      </c>
      <c r="C201" s="2" t="e">
        <f ca="1">PAProjects5[[#This Row],[LINKING_CODE]]=_xlfn.CONCAT(PAProjects5[[#This Row],[Project Code]]," ",PAProjects5[[#This Row],[Project Name]])</f>
        <v>#NAME?</v>
      </c>
      <c r="D201" s="2" t="e">
        <f>VLOOKUP(PAProjects5[[#This Row],[LINKING_CODE]],MasterTable[[Project Code and Name ]],1,FALSE)</f>
        <v>#N/A</v>
      </c>
      <c r="E201" s="2" t="s">
        <v>520</v>
      </c>
      <c r="F201" s="2" t="s">
        <v>975</v>
      </c>
      <c r="G201" s="2" t="s">
        <v>115</v>
      </c>
      <c r="H201" s="2" t="s">
        <v>962</v>
      </c>
      <c r="I201" s="2" t="s">
        <v>712</v>
      </c>
      <c r="J201" s="2" t="s">
        <v>713</v>
      </c>
      <c r="K201" s="2" t="s">
        <v>1509</v>
      </c>
      <c r="L201" s="23">
        <v>43647</v>
      </c>
      <c r="M201" s="23">
        <v>44742</v>
      </c>
      <c r="N201" s="24">
        <v>232</v>
      </c>
      <c r="O201" s="20"/>
      <c r="P201" s="20">
        <f t="shared" si="18"/>
        <v>232</v>
      </c>
      <c r="Q201" s="20">
        <f>SUMIFS(MasterTable[Estimate of Arrears at end of the current FY 2020/21 (value)],MasterTable[[Project Code and Name ]],PAProjects5[[#This Row],[LINKING_CODE]],MasterTable[Funding Source],"GoU Funded")/10^9</f>
        <v>0</v>
      </c>
      <c r="R201" s="2">
        <v>0.15</v>
      </c>
      <c r="S201" s="2"/>
      <c r="T201" s="49">
        <f>PAProjects[[#This Row],[GOU 21/22]]+PAProjects[[#This Row],[DONOR 21/22]]</f>
        <v>0.15</v>
      </c>
      <c r="U201" s="2"/>
      <c r="V201" s="2"/>
      <c r="W201" s="49">
        <f>PAProjects[[#This Row],[GOU 22/23]]+PAProjects[[#This Row],[DONOR 22/23]]</f>
        <v>0</v>
      </c>
      <c r="X201" s="2"/>
      <c r="Y201" s="2"/>
      <c r="Z201" s="2">
        <f t="shared" si="19"/>
        <v>0</v>
      </c>
      <c r="AA201" s="2"/>
      <c r="AB201" s="2"/>
      <c r="AC201" s="49">
        <f>PAProjects[[#This Row],[GOU 24/25]]+PAProjects[[#This Row],[DONOR 24/25]]</f>
        <v>0</v>
      </c>
    </row>
    <row r="202" spans="1:29" ht="15" hidden="1" customHeight="1" x14ac:dyDescent="0.25">
      <c r="A202" s="21" t="s">
        <v>987</v>
      </c>
      <c r="B202" s="2" t="s">
        <v>1351</v>
      </c>
      <c r="C202" s="2" t="e">
        <f ca="1">PAProjects5[[#This Row],[LINKING_CODE]]=_xlfn.CONCAT(PAProjects5[[#This Row],[Project Code]]," ",PAProjects5[[#This Row],[Project Name]])</f>
        <v>#NAME?</v>
      </c>
      <c r="D202" s="2" t="e">
        <f>VLOOKUP(PAProjects5[[#This Row],[LINKING_CODE]],MasterTable[[Project Code and Name ]],1,FALSE)</f>
        <v>#N/A</v>
      </c>
      <c r="E202" s="2" t="s">
        <v>520</v>
      </c>
      <c r="F202" s="2" t="s">
        <v>975</v>
      </c>
      <c r="G202" s="2" t="s">
        <v>304</v>
      </c>
      <c r="H202" s="2" t="s">
        <v>962</v>
      </c>
      <c r="I202" s="2" t="s">
        <v>711</v>
      </c>
      <c r="J202" s="2" t="s">
        <v>988</v>
      </c>
      <c r="K202" s="2" t="s">
        <v>1509</v>
      </c>
      <c r="L202" s="23">
        <v>42917</v>
      </c>
      <c r="M202" s="23">
        <v>44742</v>
      </c>
      <c r="N202" s="24">
        <v>20.05</v>
      </c>
      <c r="O202" s="20"/>
      <c r="P202" s="20">
        <f t="shared" si="18"/>
        <v>20.05</v>
      </c>
      <c r="Q202" s="20">
        <f>SUMIFS(MasterTable[Estimate of Arrears at end of the current FY 2020/21 (value)],MasterTable[[Project Code and Name ]],PAProjects5[[#This Row],[LINKING_CODE]],MasterTable[Funding Source],"GoU Funded")/10^9</f>
        <v>0</v>
      </c>
      <c r="R202" s="2">
        <v>2.1</v>
      </c>
      <c r="S202" s="2"/>
      <c r="T202" s="49">
        <f>PAProjects[[#This Row],[GOU 21/22]]+PAProjects[[#This Row],[DONOR 21/22]]</f>
        <v>2.1</v>
      </c>
      <c r="U202" s="2"/>
      <c r="V202" s="2"/>
      <c r="W202" s="49">
        <f>PAProjects[[#This Row],[GOU 22/23]]+PAProjects[[#This Row],[DONOR 22/23]]</f>
        <v>0</v>
      </c>
      <c r="X202" s="2"/>
      <c r="Y202" s="2"/>
      <c r="Z202" s="2">
        <f t="shared" si="19"/>
        <v>0</v>
      </c>
      <c r="AA202" s="2"/>
      <c r="AB202" s="2"/>
      <c r="AC202" s="49">
        <f>PAProjects[[#This Row],[GOU 24/25]]+PAProjects[[#This Row],[DONOR 24/25]]</f>
        <v>0</v>
      </c>
    </row>
    <row r="203" spans="1:29" ht="15" hidden="1" customHeight="1" x14ac:dyDescent="0.25">
      <c r="A203" s="21" t="s">
        <v>989</v>
      </c>
      <c r="B203" s="2" t="s">
        <v>1352</v>
      </c>
      <c r="C203" s="2" t="e">
        <f ca="1">PAProjects5[[#This Row],[LINKING_CODE]]=_xlfn.CONCAT(PAProjects5[[#This Row],[Project Code]]," ",PAProjects5[[#This Row],[Project Name]])</f>
        <v>#NAME?</v>
      </c>
      <c r="D203" s="2" t="e">
        <f>VLOOKUP(PAProjects5[[#This Row],[LINKING_CODE]],MasterTable[[Project Code and Name ]],1,FALSE)</f>
        <v>#N/A</v>
      </c>
      <c r="E203" s="2" t="s">
        <v>524</v>
      </c>
      <c r="F203" s="2" t="s">
        <v>990</v>
      </c>
      <c r="G203" s="2" t="s">
        <v>67</v>
      </c>
      <c r="H203" s="2" t="s">
        <v>962</v>
      </c>
      <c r="I203" s="2" t="s">
        <v>805</v>
      </c>
      <c r="J203" s="2" t="s">
        <v>806</v>
      </c>
      <c r="K203" s="2" t="s">
        <v>1509</v>
      </c>
      <c r="L203" s="23">
        <v>42917</v>
      </c>
      <c r="M203" s="23">
        <v>44742</v>
      </c>
      <c r="N203" s="24">
        <v>24.105</v>
      </c>
      <c r="O203" s="20"/>
      <c r="P203" s="20">
        <f t="shared" si="18"/>
        <v>24.105</v>
      </c>
      <c r="Q203" s="20">
        <f>SUMIFS(MasterTable[Estimate of Arrears at end of the current FY 2020/21 (value)],MasterTable[[Project Code and Name ]],PAProjects5[[#This Row],[LINKING_CODE]],MasterTable[Funding Source],"GoU Funded")/10^9</f>
        <v>0</v>
      </c>
      <c r="R203" s="2">
        <v>1</v>
      </c>
      <c r="S203" s="2"/>
      <c r="T203" s="49">
        <f>PAProjects[[#This Row],[GOU 21/22]]+PAProjects[[#This Row],[DONOR 21/22]]</f>
        <v>1</v>
      </c>
      <c r="U203" s="2"/>
      <c r="V203" s="2"/>
      <c r="W203" s="49">
        <f>PAProjects[[#This Row],[GOU 22/23]]+PAProjects[[#This Row],[DONOR 22/23]]</f>
        <v>0</v>
      </c>
      <c r="X203" s="2"/>
      <c r="Y203" s="2"/>
      <c r="Z203" s="2">
        <f t="shared" si="19"/>
        <v>0</v>
      </c>
      <c r="AA203" s="2"/>
      <c r="AB203" s="2"/>
      <c r="AC203" s="49">
        <f>PAProjects[[#This Row],[GOU 24/25]]+PAProjects[[#This Row],[DONOR 24/25]]</f>
        <v>0</v>
      </c>
    </row>
    <row r="204" spans="1:29" ht="15" hidden="1" customHeight="1" x14ac:dyDescent="0.25">
      <c r="A204" s="21" t="s">
        <v>991</v>
      </c>
      <c r="B204" s="2" t="s">
        <v>1353</v>
      </c>
      <c r="C204" s="2" t="e">
        <f ca="1">PAProjects5[[#This Row],[LINKING_CODE]]=_xlfn.CONCAT(PAProjects5[[#This Row],[Project Code]]," ",PAProjects5[[#This Row],[Project Name]])</f>
        <v>#NAME?</v>
      </c>
      <c r="D204" s="2" t="e">
        <f>VLOOKUP(PAProjects5[[#This Row],[LINKING_CODE]],MasterTable[[Project Code and Name ]],1,FALSE)</f>
        <v>#N/A</v>
      </c>
      <c r="E204" s="2" t="s">
        <v>524</v>
      </c>
      <c r="F204" s="2" t="s">
        <v>990</v>
      </c>
      <c r="G204" s="2" t="s">
        <v>67</v>
      </c>
      <c r="H204" s="2" t="s">
        <v>962</v>
      </c>
      <c r="I204" s="2" t="s">
        <v>807</v>
      </c>
      <c r="J204" s="2" t="s">
        <v>992</v>
      </c>
      <c r="K204" s="2" t="s">
        <v>1509</v>
      </c>
      <c r="L204" s="23">
        <v>43282</v>
      </c>
      <c r="M204" s="23">
        <v>44742</v>
      </c>
      <c r="N204" s="24"/>
      <c r="O204" s="25">
        <v>149</v>
      </c>
      <c r="P204" s="20">
        <f t="shared" si="18"/>
        <v>149</v>
      </c>
      <c r="Q204" s="20">
        <f>SUMIFS(MasterTable[Estimate of Arrears at end of the current FY 2020/21 (value)],MasterTable[[Project Code and Name ]],PAProjects5[[#This Row],[LINKING_CODE]],MasterTable[Funding Source],"GoU Funded")/10^9</f>
        <v>0</v>
      </c>
      <c r="R204" s="2"/>
      <c r="S204" s="2"/>
      <c r="T204" s="49">
        <f>PAProjects[[#This Row],[GOU 21/22]]+PAProjects[[#This Row],[DONOR 21/22]]</f>
        <v>0</v>
      </c>
      <c r="U204" s="2"/>
      <c r="V204" s="2"/>
      <c r="W204" s="49">
        <f>PAProjects[[#This Row],[GOU 22/23]]+PAProjects[[#This Row],[DONOR 22/23]]</f>
        <v>0</v>
      </c>
      <c r="X204" s="2"/>
      <c r="Y204" s="2"/>
      <c r="Z204" s="2">
        <f t="shared" si="19"/>
        <v>0</v>
      </c>
      <c r="AA204" s="2"/>
      <c r="AB204" s="2"/>
      <c r="AC204" s="49">
        <f>PAProjects[[#This Row],[GOU 24/25]]+PAProjects[[#This Row],[DONOR 24/25]]</f>
        <v>0</v>
      </c>
    </row>
    <row r="205" spans="1:29" ht="15" hidden="1" customHeight="1" x14ac:dyDescent="0.25">
      <c r="A205" s="21" t="s">
        <v>993</v>
      </c>
      <c r="B205" s="2" t="s">
        <v>1354</v>
      </c>
      <c r="C205" s="2" t="e">
        <f ca="1">PAProjects5[[#This Row],[LINKING_CODE]]=_xlfn.CONCAT(PAProjects5[[#This Row],[Project Code]]," ",PAProjects5[[#This Row],[Project Name]])</f>
        <v>#NAME?</v>
      </c>
      <c r="D205" s="2" t="e">
        <f>VLOOKUP(PAProjects5[[#This Row],[LINKING_CODE]],MasterTable[[Project Code and Name ]],1,FALSE)</f>
        <v>#N/A</v>
      </c>
      <c r="E205" s="2" t="s">
        <v>524</v>
      </c>
      <c r="F205" s="2" t="s">
        <v>990</v>
      </c>
      <c r="G205" s="2" t="s">
        <v>67</v>
      </c>
      <c r="H205" s="2" t="s">
        <v>962</v>
      </c>
      <c r="I205" s="2" t="s">
        <v>994</v>
      </c>
      <c r="J205" s="2" t="s">
        <v>995</v>
      </c>
      <c r="K205" s="2" t="s">
        <v>1509</v>
      </c>
      <c r="L205" s="23">
        <v>43647</v>
      </c>
      <c r="M205" s="23">
        <v>44742</v>
      </c>
      <c r="N205" s="24">
        <v>514.74</v>
      </c>
      <c r="O205" s="20"/>
      <c r="P205" s="20">
        <f t="shared" si="18"/>
        <v>514.74</v>
      </c>
      <c r="Q205" s="20">
        <f>SUMIFS(MasterTable[Estimate of Arrears at end of the current FY 2020/21 (value)],MasterTable[[Project Code and Name ]],PAProjects5[[#This Row],[LINKING_CODE]],MasterTable[Funding Source],"GoU Funded")/10^9</f>
        <v>0</v>
      </c>
      <c r="R205" s="2"/>
      <c r="S205" s="2"/>
      <c r="T205" s="49">
        <f>PAProjects[[#This Row],[GOU 21/22]]+PAProjects[[#This Row],[DONOR 21/22]]</f>
        <v>0</v>
      </c>
      <c r="U205" s="2"/>
      <c r="V205" s="2"/>
      <c r="W205" s="49">
        <f>PAProjects[[#This Row],[GOU 22/23]]+PAProjects[[#This Row],[DONOR 22/23]]</f>
        <v>0</v>
      </c>
      <c r="X205" s="2"/>
      <c r="Y205" s="2"/>
      <c r="Z205" s="2">
        <f t="shared" si="19"/>
        <v>0</v>
      </c>
      <c r="AA205" s="2"/>
      <c r="AB205" s="2"/>
      <c r="AC205" s="49">
        <f>PAProjects[[#This Row],[GOU 24/25]]+PAProjects[[#This Row],[DONOR 24/25]]</f>
        <v>0</v>
      </c>
    </row>
    <row r="206" spans="1:29" ht="15" hidden="1" customHeight="1" x14ac:dyDescent="0.25">
      <c r="A206" s="21" t="s">
        <v>133</v>
      </c>
      <c r="B206" s="2" t="s">
        <v>1355</v>
      </c>
      <c r="C206" s="2" t="e">
        <f ca="1">PAProjects5[[#This Row],[LINKING_CODE]]=_xlfn.CONCAT(PAProjects5[[#This Row],[Project Code]]," ",PAProjects5[[#This Row],[Project Name]])</f>
        <v>#NAME?</v>
      </c>
      <c r="D206" s="2" t="e">
        <f>VLOOKUP(PAProjects5[[#This Row],[LINKING_CODE]],MasterTable[[Project Code and Name ]],1,FALSE)</f>
        <v>#N/A</v>
      </c>
      <c r="E206" s="2" t="s">
        <v>515</v>
      </c>
      <c r="F206" s="2" t="s">
        <v>944</v>
      </c>
      <c r="G206" s="2" t="s">
        <v>122</v>
      </c>
      <c r="H206" s="2" t="s">
        <v>1007</v>
      </c>
      <c r="I206" s="2" t="s">
        <v>1082</v>
      </c>
      <c r="J206" s="2" t="s">
        <v>654</v>
      </c>
      <c r="K206" s="2" t="s">
        <v>1509</v>
      </c>
      <c r="L206" s="23">
        <v>44013</v>
      </c>
      <c r="M206" s="23">
        <v>45838</v>
      </c>
      <c r="N206" s="20"/>
      <c r="O206" s="20">
        <v>1075</v>
      </c>
      <c r="P206" s="20">
        <f t="shared" si="18"/>
        <v>1075</v>
      </c>
      <c r="Q206" s="20">
        <f>SUMIFS(MasterTable[Estimate of Arrears at end of the current FY 2020/21 (value)],MasterTable[[Project Code and Name ]],PAProjects5[[#This Row],[LINKING_CODE]],MasterTable[Funding Source],"GoU Funded")/10^9</f>
        <v>0</v>
      </c>
      <c r="R206" s="2">
        <v>13.16</v>
      </c>
      <c r="S206" s="2">
        <v>95.3</v>
      </c>
      <c r="T206" s="49">
        <f>PAProjects[[#This Row],[GOU 21/22]]+PAProjects[[#This Row],[DONOR 21/22]]</f>
        <v>108.46</v>
      </c>
      <c r="U206" s="2">
        <v>13.16</v>
      </c>
      <c r="V206" s="2">
        <v>95.3</v>
      </c>
      <c r="W206" s="49">
        <f>PAProjects[[#This Row],[GOU 22/23]]+PAProjects[[#This Row],[DONOR 22/23]]</f>
        <v>108.46</v>
      </c>
      <c r="X206" s="2">
        <v>13.16</v>
      </c>
      <c r="Y206" s="2">
        <v>95.3</v>
      </c>
      <c r="Z206" s="2">
        <f t="shared" si="19"/>
        <v>108.46</v>
      </c>
      <c r="AA206" s="2">
        <v>13.16</v>
      </c>
      <c r="AB206" s="2">
        <v>95.3</v>
      </c>
      <c r="AC206" s="29">
        <f>PAProjects[[#This Row],[GOU 24/25]]+PAProjects[[#This Row],[DONOR 24/25]]</f>
        <v>108.46</v>
      </c>
    </row>
    <row r="207" spans="1:29" ht="15" hidden="1" customHeight="1" x14ac:dyDescent="0.25">
      <c r="A207" s="21" t="s">
        <v>137</v>
      </c>
      <c r="B207" s="2" t="s">
        <v>1356</v>
      </c>
      <c r="C207" s="2" t="e">
        <f ca="1">PAProjects5[[#This Row],[LINKING_CODE]]=_xlfn.CONCAT(PAProjects5[[#This Row],[Project Code]]," ",PAProjects5[[#This Row],[Project Name]])</f>
        <v>#NAME?</v>
      </c>
      <c r="D207" s="2" t="e">
        <f>VLOOKUP(PAProjects5[[#This Row],[LINKING_CODE]],MasterTable[[Project Code and Name ]],1,FALSE)</f>
        <v>#N/A</v>
      </c>
      <c r="E207" s="2" t="s">
        <v>527</v>
      </c>
      <c r="F207" s="2" t="s">
        <v>929</v>
      </c>
      <c r="G207" s="2" t="s">
        <v>145</v>
      </c>
      <c r="H207" s="2" t="s">
        <v>1088</v>
      </c>
      <c r="I207" s="2" t="s">
        <v>827</v>
      </c>
      <c r="J207" s="2" t="s">
        <v>828</v>
      </c>
      <c r="K207" s="2" t="s">
        <v>1509</v>
      </c>
      <c r="L207" s="23">
        <v>42917</v>
      </c>
      <c r="M207" s="23">
        <v>44742</v>
      </c>
      <c r="N207" s="24">
        <v>32.718904000000002</v>
      </c>
      <c r="O207" s="20"/>
      <c r="P207" s="20">
        <f t="shared" si="18"/>
        <v>32.718904000000002</v>
      </c>
      <c r="Q207" s="20">
        <f>SUMIFS(MasterTable[Estimate of Arrears at end of the current FY 2020/21 (value)],MasterTable[[Project Code and Name ]],PAProjects5[[#This Row],[LINKING_CODE]],MasterTable[Funding Source],"GoU Funded")/10^9</f>
        <v>0</v>
      </c>
      <c r="R207" s="2">
        <v>4.82</v>
      </c>
      <c r="S207" s="2"/>
      <c r="T207" s="49">
        <f>PAProjects[[#This Row],[GOU 21/22]]+PAProjects[[#This Row],[DONOR 21/22]]</f>
        <v>4.82</v>
      </c>
      <c r="U207" s="2"/>
      <c r="V207" s="2"/>
      <c r="W207" s="49">
        <f>PAProjects[[#This Row],[GOU 22/23]]+PAProjects[[#This Row],[DONOR 22/23]]</f>
        <v>0</v>
      </c>
      <c r="X207" s="2"/>
      <c r="Y207" s="2"/>
      <c r="Z207" s="2"/>
      <c r="AA207" s="2"/>
      <c r="AB207" s="2"/>
      <c r="AC207" s="49">
        <f>PAProjects[[#This Row],[GOU 24/25]]+PAProjects[[#This Row],[DONOR 24/25]]</f>
        <v>0</v>
      </c>
    </row>
    <row r="208" spans="1:29" ht="15" hidden="1" customHeight="1" x14ac:dyDescent="0.25">
      <c r="A208" s="21" t="s">
        <v>138</v>
      </c>
      <c r="B208" s="2" t="s">
        <v>1357</v>
      </c>
      <c r="C208" s="2" t="e">
        <f ca="1">PAProjects5[[#This Row],[LINKING_CODE]]=_xlfn.CONCAT(PAProjects5[[#This Row],[Project Code]]," ",PAProjects5[[#This Row],[Project Name]])</f>
        <v>#NAME?</v>
      </c>
      <c r="D208" s="2" t="e">
        <f>VLOOKUP(PAProjects5[[#This Row],[LINKING_CODE]],MasterTable[[Project Code and Name ]],1,FALSE)</f>
        <v>#N/A</v>
      </c>
      <c r="E208" s="2" t="s">
        <v>531</v>
      </c>
      <c r="F208" s="2" t="s">
        <v>940</v>
      </c>
      <c r="G208" s="2" t="s">
        <v>310</v>
      </c>
      <c r="H208" s="2" t="s">
        <v>1088</v>
      </c>
      <c r="I208" s="2" t="s">
        <v>850</v>
      </c>
      <c r="J208" s="2" t="s">
        <v>851</v>
      </c>
      <c r="K208" s="2" t="s">
        <v>1509</v>
      </c>
      <c r="L208" s="26">
        <v>39264</v>
      </c>
      <c r="M208" s="23">
        <v>44742</v>
      </c>
      <c r="N208" s="24">
        <v>200</v>
      </c>
      <c r="O208" s="20"/>
      <c r="P208" s="20">
        <f t="shared" si="18"/>
        <v>200</v>
      </c>
      <c r="Q208" s="20">
        <f>SUMIFS(MasterTable[Estimate of Arrears at end of the current FY 2020/21 (value)],MasterTable[[Project Code and Name ]],PAProjects5[[#This Row],[LINKING_CODE]],MasterTable[Funding Source],"GoU Funded")/10^9</f>
        <v>0</v>
      </c>
      <c r="R208" s="2">
        <v>1.1060000000000001</v>
      </c>
      <c r="S208" s="2">
        <v>101.456</v>
      </c>
      <c r="T208" s="29">
        <f>PAProjects[[#This Row],[GOU 21/22]]+PAProjects[[#This Row],[DONOR 21/22]]</f>
        <v>102.562</v>
      </c>
      <c r="U208" s="2"/>
      <c r="V208" s="2"/>
      <c r="W208" s="49">
        <f>PAProjects[[#This Row],[GOU 22/23]]+PAProjects[[#This Row],[DONOR 22/23]]</f>
        <v>0</v>
      </c>
      <c r="X208" s="2"/>
      <c r="Y208" s="2"/>
      <c r="Z208" s="2"/>
      <c r="AA208" s="2"/>
      <c r="AB208" s="2"/>
      <c r="AC208" s="49">
        <f>PAProjects[[#This Row],[GOU 24/25]]+PAProjects[[#This Row],[DONOR 24/25]]</f>
        <v>0</v>
      </c>
    </row>
    <row r="209" spans="1:29" ht="15" hidden="1" customHeight="1" x14ac:dyDescent="0.25">
      <c r="A209" s="21" t="s">
        <v>141</v>
      </c>
      <c r="B209" s="2" t="s">
        <v>1358</v>
      </c>
      <c r="C209" s="2" t="e">
        <f ca="1">PAProjects5[[#This Row],[LINKING_CODE]]=_xlfn.CONCAT(PAProjects5[[#This Row],[Project Code]]," ",PAProjects5[[#This Row],[Project Name]])</f>
        <v>#NAME?</v>
      </c>
      <c r="D209" s="2" t="e">
        <f>VLOOKUP(PAProjects5[[#This Row],[LINKING_CODE]],MasterTable[[Project Code and Name ]],1,FALSE)</f>
        <v>#N/A</v>
      </c>
      <c r="E209" s="2" t="s">
        <v>513</v>
      </c>
      <c r="F209" s="2" t="s">
        <v>1089</v>
      </c>
      <c r="G209" s="2" t="s">
        <v>312</v>
      </c>
      <c r="H209" s="2" t="s">
        <v>1095</v>
      </c>
      <c r="I209" s="2" t="s">
        <v>1094</v>
      </c>
      <c r="J209" s="2" t="s">
        <v>585</v>
      </c>
      <c r="K209" s="2" t="s">
        <v>1509</v>
      </c>
      <c r="L209" s="23">
        <v>44013</v>
      </c>
      <c r="M209" s="23">
        <v>45838</v>
      </c>
      <c r="N209" s="30">
        <v>133.55000000000001</v>
      </c>
      <c r="O209" s="20"/>
      <c r="P209" s="20">
        <f t="shared" si="18"/>
        <v>133.55000000000001</v>
      </c>
      <c r="Q209" s="20">
        <f>SUMIFS(MasterTable[Estimate of Arrears at end of the current FY 2020/21 (value)],MasterTable[[Project Code and Name ]],PAProjects5[[#This Row],[LINKING_CODE]],MasterTable[Funding Source],"GoU Funded")/10^9</f>
        <v>0</v>
      </c>
      <c r="R209" s="2">
        <v>26.71</v>
      </c>
      <c r="S209" s="29"/>
      <c r="T209" s="49">
        <f>PAProjects[[#This Row],[GOU 21/22]]+PAProjects[[#This Row],[DONOR 21/22]]</f>
        <v>26.71</v>
      </c>
      <c r="U209" s="2">
        <v>26.71</v>
      </c>
      <c r="V209" s="2"/>
      <c r="W209" s="49">
        <f>PAProjects[[#This Row],[GOU 22/23]]+PAProjects[[#This Row],[DONOR 22/23]]</f>
        <v>26.71</v>
      </c>
      <c r="X209" s="2">
        <v>26.71</v>
      </c>
      <c r="Y209" s="2"/>
      <c r="Z209" s="2">
        <f>X209+Y209</f>
        <v>26.71</v>
      </c>
      <c r="AA209" s="2">
        <v>26.71</v>
      </c>
      <c r="AB209" s="2"/>
      <c r="AC209" s="29">
        <f>PAProjects[[#This Row],[GOU 24/25]]+PAProjects[[#This Row],[DONOR 24/25]]</f>
        <v>26.71</v>
      </c>
    </row>
    <row r="210" spans="1:29" ht="15" hidden="1" customHeight="1" x14ac:dyDescent="0.25">
      <c r="A210" s="21" t="s">
        <v>150</v>
      </c>
      <c r="B210" s="2" t="s">
        <v>1359</v>
      </c>
      <c r="C210" s="2" t="e">
        <f ca="1">PAProjects5[[#This Row],[LINKING_CODE]]=_xlfn.CONCAT(PAProjects5[[#This Row],[Project Code]]," ",PAProjects5[[#This Row],[Project Name]])</f>
        <v>#NAME?</v>
      </c>
      <c r="D210" s="2" t="e">
        <f>VLOOKUP(PAProjects5[[#This Row],[LINKING_CODE]],MasterTable[[Project Code and Name ]],1,FALSE)</f>
        <v>#N/A</v>
      </c>
      <c r="E210" s="2" t="s">
        <v>531</v>
      </c>
      <c r="F210" s="2" t="s">
        <v>940</v>
      </c>
      <c r="G210" s="2" t="s">
        <v>941</v>
      </c>
      <c r="H210" s="2" t="s">
        <v>1107</v>
      </c>
      <c r="I210" s="2" t="s">
        <v>853</v>
      </c>
      <c r="J210" s="2" t="s">
        <v>1108</v>
      </c>
      <c r="K210" s="2" t="s">
        <v>1509</v>
      </c>
      <c r="L210" s="26">
        <v>41821</v>
      </c>
      <c r="M210" s="23">
        <v>44742</v>
      </c>
      <c r="N210" s="24">
        <v>14.252000000000001</v>
      </c>
      <c r="O210" s="25">
        <v>90.858999999999995</v>
      </c>
      <c r="P210" s="20">
        <f t="shared" si="18"/>
        <v>105.11099999999999</v>
      </c>
      <c r="Q210" s="20">
        <f>SUMIFS(MasterTable[Estimate of Arrears at end of the current FY 2020/21 (value)],MasterTable[[Project Code and Name ]],PAProjects5[[#This Row],[LINKING_CODE]],MasterTable[Funding Source],"GoU Funded")/10^9</f>
        <v>0</v>
      </c>
      <c r="R210" s="2">
        <v>2.84</v>
      </c>
      <c r="S210" s="2">
        <v>37.369999999999997</v>
      </c>
      <c r="T210" s="49">
        <f>PAProjects[[#This Row],[GOU 21/22]]+PAProjects[[#This Row],[DONOR 21/22]]</f>
        <v>40.209999999999994</v>
      </c>
      <c r="U210" s="2"/>
      <c r="V210" s="2"/>
      <c r="W210" s="49">
        <f>PAProjects[[#This Row],[GOU 22/23]]+PAProjects[[#This Row],[DONOR 22/23]]</f>
        <v>0</v>
      </c>
      <c r="X210" s="2"/>
      <c r="Y210" s="2"/>
      <c r="Z210" s="2"/>
      <c r="AA210" s="2"/>
      <c r="AB210" s="2"/>
      <c r="AC210" s="49">
        <f>PAProjects[[#This Row],[GOU 24/25]]+PAProjects[[#This Row],[DONOR 24/25]]</f>
        <v>0</v>
      </c>
    </row>
    <row r="211" spans="1:29" ht="15" customHeight="1" x14ac:dyDescent="0.25">
      <c r="A211" s="21" t="s">
        <v>153</v>
      </c>
      <c r="B211" s="2" t="s">
        <v>1360</v>
      </c>
      <c r="C211" s="2" t="e">
        <f ca="1">PAProjects5[[#This Row],[LINKING_CODE]]=_xlfn.CONCAT(PAProjects5[[#This Row],[Project Code]]," ",PAProjects5[[#This Row],[Project Name]])</f>
        <v>#NAME?</v>
      </c>
      <c r="D211" s="2" t="e">
        <f>VLOOKUP(PAProjects5[[#This Row],[LINKING_CODE]],MasterTable[[Project Code and Name ]],1,FALSE)</f>
        <v>#N/A</v>
      </c>
      <c r="E211" s="2" t="s">
        <v>531</v>
      </c>
      <c r="F211" s="2" t="s">
        <v>940</v>
      </c>
      <c r="G211" s="2" t="s">
        <v>941</v>
      </c>
      <c r="H211" s="21" t="s">
        <v>1107</v>
      </c>
      <c r="I211" s="21" t="s">
        <v>1109</v>
      </c>
      <c r="J211" s="2" t="s">
        <v>1110</v>
      </c>
      <c r="K211" s="2" t="s">
        <v>1509</v>
      </c>
      <c r="L211" s="152">
        <v>44378</v>
      </c>
      <c r="M211" s="152">
        <v>46203</v>
      </c>
      <c r="N211" s="20"/>
      <c r="O211" s="153">
        <v>1665</v>
      </c>
      <c r="P211" s="20">
        <f t="shared" ref="P211" si="20">SUM(N211:O211)</f>
        <v>1665</v>
      </c>
      <c r="Q211" s="20">
        <v>0</v>
      </c>
      <c r="R211" s="2"/>
      <c r="S211" s="2">
        <v>725.2</v>
      </c>
      <c r="T211" s="49">
        <f>PAProjects[[#This Row],[GOU 21/22]]+PAProjects[[#This Row],[DONOR 21/22]]</f>
        <v>725.2</v>
      </c>
      <c r="U211" s="2"/>
      <c r="V211" s="2">
        <v>234.95</v>
      </c>
      <c r="W211" s="49">
        <f>PAProjects[[#This Row],[GOU 22/23]]+PAProjects[[#This Row],[DONOR 22/23]]</f>
        <v>234.95</v>
      </c>
      <c r="X211" s="2"/>
      <c r="Y211" s="2">
        <v>234.95</v>
      </c>
      <c r="Z211" s="2"/>
      <c r="AA211" s="2"/>
      <c r="AB211" s="2">
        <v>234.95</v>
      </c>
      <c r="AC211" s="49">
        <f>PAProjects[[#This Row],[GOU 24/25]]+PAProjects[[#This Row],[DONOR 24/25]]</f>
        <v>234.95</v>
      </c>
    </row>
    <row r="212" spans="1:29" ht="15" hidden="1" customHeight="1" x14ac:dyDescent="0.25">
      <c r="A212" s="21" t="s">
        <v>155</v>
      </c>
      <c r="B212" s="2" t="s">
        <v>1361</v>
      </c>
      <c r="C212" s="2" t="e">
        <f ca="1">PAProjects5[[#This Row],[LINKING_CODE]]=_xlfn.CONCAT(PAProjects5[[#This Row],[Project Code]]," ",PAProjects5[[#This Row],[Project Name]])</f>
        <v>#NAME?</v>
      </c>
      <c r="D212" s="2" t="e">
        <f>VLOOKUP(PAProjects5[[#This Row],[LINKING_CODE]],MasterTable[[Project Code and Name ]],1,FALSE)</f>
        <v>#N/A</v>
      </c>
      <c r="E212" s="2" t="s">
        <v>511</v>
      </c>
      <c r="F212" s="2" t="s">
        <v>890</v>
      </c>
      <c r="G212" s="2" t="s">
        <v>891</v>
      </c>
      <c r="H212" s="2" t="s">
        <v>1113</v>
      </c>
      <c r="I212" s="2" t="s">
        <v>1111</v>
      </c>
      <c r="J212" s="2" t="s">
        <v>547</v>
      </c>
      <c r="K212" s="2" t="str">
        <f t="shared" ref="K212:K275" si="21">IF(ISERROR(SEARCH("Retooling",J212))=FALSE,"Retooling","")</f>
        <v>Retooling</v>
      </c>
      <c r="L212" s="23">
        <v>44013</v>
      </c>
      <c r="M212" s="23">
        <v>45838</v>
      </c>
      <c r="N212" s="28">
        <v>62.32</v>
      </c>
      <c r="O212" s="28"/>
      <c r="P212" s="20">
        <f t="shared" ref="P212:P243" si="22">SUM(N212:O212)</f>
        <v>62.32</v>
      </c>
      <c r="Q212" s="20">
        <f>SUMIFS(MasterTable[Estimate of Arrears at end of the current FY 2020/21 (value)],MasterTable[[Project Code and Name ]],PAProjects5[[#This Row],[LINKING_CODE]],MasterTable[Funding Source],"GoU Funded")/10^9</f>
        <v>0</v>
      </c>
      <c r="R212" s="29">
        <f t="shared" ref="R212:R226" si="23">N212/5</f>
        <v>12.464</v>
      </c>
      <c r="S212" s="2"/>
      <c r="T212" s="29">
        <f>PAProjects[[#This Row],[GOU 21/22]]+PAProjects[[#This Row],[DONOR 21/22]]</f>
        <v>12.464</v>
      </c>
      <c r="U212" s="29">
        <f t="shared" ref="U212:U226" si="24">R212</f>
        <v>12.464</v>
      </c>
      <c r="V212" s="2"/>
      <c r="W212" s="29">
        <f>PAProjects[[#This Row],[GOU 22/23]]+PAProjects[[#This Row],[DONOR 22/23]]</f>
        <v>12.464</v>
      </c>
      <c r="X212" s="29">
        <f t="shared" ref="X212:X226" si="25">U212</f>
        <v>12.464</v>
      </c>
      <c r="Y212" s="2"/>
      <c r="Z212" s="29">
        <f>SUM(X212:Y212)</f>
        <v>12.464</v>
      </c>
      <c r="AA212" s="29">
        <f t="shared" ref="AA212:AA226" si="26">X212</f>
        <v>12.464</v>
      </c>
      <c r="AB212" s="2"/>
      <c r="AC212" s="29">
        <f>PAProjects[[#This Row],[GOU 24/25]]+PAProjects[[#This Row],[DONOR 24/25]]</f>
        <v>12.464</v>
      </c>
    </row>
    <row r="213" spans="1:29" ht="15" hidden="1" customHeight="1" x14ac:dyDescent="0.25">
      <c r="A213" s="21" t="s">
        <v>157</v>
      </c>
      <c r="B213" s="2" t="s">
        <v>1362</v>
      </c>
      <c r="C213" s="2" t="e">
        <f ca="1">PAProjects5[[#This Row],[LINKING_CODE]]=_xlfn.CONCAT(PAProjects5[[#This Row],[Project Code]]," ",PAProjects5[[#This Row],[Project Name]])</f>
        <v>#NAME?</v>
      </c>
      <c r="D213" s="2" t="e">
        <f>VLOOKUP(PAProjects5[[#This Row],[LINKING_CODE]],MasterTable[[Project Code and Name ]],1,FALSE)</f>
        <v>#N/A</v>
      </c>
      <c r="E213" s="2" t="s">
        <v>511</v>
      </c>
      <c r="F213" s="2" t="s">
        <v>890</v>
      </c>
      <c r="G213" s="2" t="s">
        <v>160</v>
      </c>
      <c r="H213" s="2" t="s">
        <v>1113</v>
      </c>
      <c r="I213" s="2" t="s">
        <v>1114</v>
      </c>
      <c r="J213" s="2" t="s">
        <v>552</v>
      </c>
      <c r="K213" s="2" t="str">
        <f t="shared" si="21"/>
        <v>Retooling</v>
      </c>
      <c r="L213" s="23">
        <v>44013</v>
      </c>
      <c r="M213" s="23">
        <v>45838</v>
      </c>
      <c r="N213" s="20">
        <v>22.347000000000001</v>
      </c>
      <c r="O213" s="20"/>
      <c r="P213" s="20">
        <f t="shared" si="22"/>
        <v>22.347000000000001</v>
      </c>
      <c r="Q213" s="20">
        <f>SUMIFS(MasterTable[Estimate of Arrears at end of the current FY 2020/21 (value)],MasterTable[[Project Code and Name ]],PAProjects5[[#This Row],[LINKING_CODE]],MasterTable[Funding Source],"GoU Funded")/10^9</f>
        <v>0</v>
      </c>
      <c r="R213" s="29">
        <f t="shared" si="23"/>
        <v>4.4694000000000003</v>
      </c>
      <c r="S213" s="2"/>
      <c r="T213" s="29">
        <f>PAProjects[[#This Row],[GOU 21/22]]+PAProjects[[#This Row],[DONOR 21/22]]</f>
        <v>4.4694000000000003</v>
      </c>
      <c r="U213" s="29">
        <f t="shared" si="24"/>
        <v>4.4694000000000003</v>
      </c>
      <c r="V213" s="2"/>
      <c r="W213" s="29">
        <f>PAProjects[[#This Row],[GOU 22/23]]+PAProjects[[#This Row],[DONOR 22/23]]</f>
        <v>4.4694000000000003</v>
      </c>
      <c r="X213" s="29">
        <f t="shared" si="25"/>
        <v>4.4694000000000003</v>
      </c>
      <c r="Y213" s="2"/>
      <c r="Z213" s="29">
        <f t="shared" ref="Z213:Z263" si="27">X213+Y213</f>
        <v>4.4694000000000003</v>
      </c>
      <c r="AA213" s="29">
        <f t="shared" si="26"/>
        <v>4.4694000000000003</v>
      </c>
      <c r="AB213" s="2"/>
      <c r="AC213" s="29">
        <f>PAProjects[[#This Row],[GOU 24/25]]+PAProjects[[#This Row],[DONOR 24/25]]</f>
        <v>4.4694000000000003</v>
      </c>
    </row>
    <row r="214" spans="1:29" ht="15" hidden="1" customHeight="1" x14ac:dyDescent="0.25">
      <c r="A214" s="21" t="s">
        <v>159</v>
      </c>
      <c r="B214" s="2" t="s">
        <v>1363</v>
      </c>
      <c r="C214" s="2" t="e">
        <f ca="1">PAProjects5[[#This Row],[LINKING_CODE]]=_xlfn.CONCAT(PAProjects5[[#This Row],[Project Code]]," ",PAProjects5[[#This Row],[Project Name]])</f>
        <v>#NAME?</v>
      </c>
      <c r="D214" s="2" t="e">
        <f>VLOOKUP(PAProjects5[[#This Row],[LINKING_CODE]],MasterTable[[Project Code and Name ]],1,FALSE)</f>
        <v>#N/A</v>
      </c>
      <c r="E214" s="2" t="s">
        <v>512</v>
      </c>
      <c r="F214" s="2" t="s">
        <v>1105</v>
      </c>
      <c r="G214" s="2" t="s">
        <v>156</v>
      </c>
      <c r="H214" s="2" t="s">
        <v>1113</v>
      </c>
      <c r="I214" s="2" t="s">
        <v>1116</v>
      </c>
      <c r="J214" s="2" t="s">
        <v>558</v>
      </c>
      <c r="K214" s="2" t="str">
        <f t="shared" si="21"/>
        <v>Retooling</v>
      </c>
      <c r="L214" s="27">
        <v>44013</v>
      </c>
      <c r="M214" s="27">
        <v>45838</v>
      </c>
      <c r="N214" s="20">
        <v>10.35</v>
      </c>
      <c r="O214" s="20"/>
      <c r="P214" s="20">
        <f t="shared" si="22"/>
        <v>10.35</v>
      </c>
      <c r="Q214" s="20">
        <f>SUMIFS(MasterTable[Estimate of Arrears at end of the current FY 2020/21 (value)],MasterTable[[Project Code and Name ]],PAProjects5[[#This Row],[LINKING_CODE]],MasterTable[Funding Source],"GoU Funded")/10^9</f>
        <v>0</v>
      </c>
      <c r="R214" s="29">
        <f t="shared" si="23"/>
        <v>2.0699999999999998</v>
      </c>
      <c r="S214" s="2"/>
      <c r="T214" s="29">
        <f>PAProjects[[#This Row],[GOU 21/22]]+PAProjects[[#This Row],[DONOR 21/22]]</f>
        <v>2.0699999999999998</v>
      </c>
      <c r="U214" s="29">
        <f t="shared" si="24"/>
        <v>2.0699999999999998</v>
      </c>
      <c r="V214" s="2"/>
      <c r="W214" s="29">
        <f>PAProjects[[#This Row],[GOU 22/23]]+PAProjects[[#This Row],[DONOR 22/23]]</f>
        <v>2.0699999999999998</v>
      </c>
      <c r="X214" s="29">
        <f t="shared" si="25"/>
        <v>2.0699999999999998</v>
      </c>
      <c r="Y214" s="2"/>
      <c r="Z214" s="29">
        <f t="shared" si="27"/>
        <v>2.0699999999999998</v>
      </c>
      <c r="AA214" s="29">
        <f t="shared" si="26"/>
        <v>2.0699999999999998</v>
      </c>
      <c r="AB214" s="2"/>
      <c r="AC214" s="29">
        <f>PAProjects[[#This Row],[GOU 24/25]]+PAProjects[[#This Row],[DONOR 24/25]]</f>
        <v>2.0699999999999998</v>
      </c>
    </row>
    <row r="215" spans="1:29" ht="15" hidden="1" customHeight="1" x14ac:dyDescent="0.25">
      <c r="A215" s="21" t="s">
        <v>161</v>
      </c>
      <c r="B215" s="2" t="s">
        <v>1364</v>
      </c>
      <c r="C215" s="2" t="e">
        <f ca="1">PAProjects5[[#This Row],[LINKING_CODE]]=_xlfn.CONCAT(PAProjects5[[#This Row],[Project Code]]," ",PAProjects5[[#This Row],[Project Name]])</f>
        <v>#NAME?</v>
      </c>
      <c r="D215" s="2" t="e">
        <f>VLOOKUP(PAProjects5[[#This Row],[LINKING_CODE]],MasterTable[[Project Code and Name ]],1,FALSE)</f>
        <v>#N/A</v>
      </c>
      <c r="E215" s="2" t="s">
        <v>513</v>
      </c>
      <c r="F215" s="2" t="s">
        <v>1089</v>
      </c>
      <c r="G215" s="2" t="s">
        <v>312</v>
      </c>
      <c r="H215" s="2" t="s">
        <v>1113</v>
      </c>
      <c r="I215" s="2" t="s">
        <v>1119</v>
      </c>
      <c r="J215" s="2" t="s">
        <v>580</v>
      </c>
      <c r="K215" s="2" t="str">
        <f t="shared" si="21"/>
        <v>Retooling</v>
      </c>
      <c r="L215" s="23">
        <v>44013</v>
      </c>
      <c r="M215" s="23">
        <v>45838</v>
      </c>
      <c r="N215" s="30">
        <v>59.86</v>
      </c>
      <c r="O215" s="20"/>
      <c r="P215" s="20">
        <f t="shared" si="22"/>
        <v>59.86</v>
      </c>
      <c r="Q215" s="20">
        <f>SUMIFS(MasterTable[Estimate of Arrears at end of the current FY 2020/21 (value)],MasterTable[[Project Code and Name ]],PAProjects5[[#This Row],[LINKING_CODE]],MasterTable[Funding Source],"GoU Funded")/10^9</f>
        <v>0</v>
      </c>
      <c r="R215" s="29">
        <f t="shared" si="23"/>
        <v>11.972</v>
      </c>
      <c r="S215" s="2"/>
      <c r="T215" s="29">
        <f>PAProjects[[#This Row],[GOU 21/22]]+PAProjects[[#This Row],[DONOR 21/22]]</f>
        <v>11.972</v>
      </c>
      <c r="U215" s="29">
        <f t="shared" si="24"/>
        <v>11.972</v>
      </c>
      <c r="V215" s="2"/>
      <c r="W215" s="29">
        <f>PAProjects[[#This Row],[GOU 22/23]]+PAProjects[[#This Row],[DONOR 22/23]]</f>
        <v>11.972</v>
      </c>
      <c r="X215" s="29">
        <f t="shared" si="25"/>
        <v>11.972</v>
      </c>
      <c r="Y215" s="2"/>
      <c r="Z215" s="29">
        <f t="shared" si="27"/>
        <v>11.972</v>
      </c>
      <c r="AA215" s="29">
        <f t="shared" si="26"/>
        <v>11.972</v>
      </c>
      <c r="AB215" s="2"/>
      <c r="AC215" s="29">
        <f>PAProjects[[#This Row],[GOU 24/25]]+PAProjects[[#This Row],[DONOR 24/25]]</f>
        <v>11.972</v>
      </c>
    </row>
    <row r="216" spans="1:29" ht="15" hidden="1" customHeight="1" x14ac:dyDescent="0.25">
      <c r="A216" s="21" t="s">
        <v>163</v>
      </c>
      <c r="B216" s="2" t="s">
        <v>1365</v>
      </c>
      <c r="C216" s="2" t="e">
        <f ca="1">PAProjects5[[#This Row],[LINKING_CODE]]=_xlfn.CONCAT(PAProjects5[[#This Row],[Project Code]]," ",PAProjects5[[#This Row],[Project Name]])</f>
        <v>#NAME?</v>
      </c>
      <c r="D216" s="2" t="e">
        <f>VLOOKUP(PAProjects5[[#This Row],[LINKING_CODE]],MasterTable[[Project Code and Name ]],1,FALSE)</f>
        <v>#N/A</v>
      </c>
      <c r="E216" s="2" t="s">
        <v>515</v>
      </c>
      <c r="F216" s="2" t="s">
        <v>944</v>
      </c>
      <c r="G216" s="2" t="s">
        <v>113</v>
      </c>
      <c r="H216" s="2" t="s">
        <v>1113</v>
      </c>
      <c r="I216" s="2" t="s">
        <v>1121</v>
      </c>
      <c r="J216" s="2" t="s">
        <v>645</v>
      </c>
      <c r="K216" s="2" t="str">
        <f t="shared" si="21"/>
        <v>Retooling</v>
      </c>
      <c r="L216" s="23">
        <v>44013</v>
      </c>
      <c r="M216" s="23">
        <v>45838</v>
      </c>
      <c r="N216" s="24">
        <v>373.78</v>
      </c>
      <c r="O216" s="25">
        <v>0</v>
      </c>
      <c r="P216" s="20">
        <f t="shared" si="22"/>
        <v>373.78</v>
      </c>
      <c r="Q216" s="20">
        <f>SUMIFS(MasterTable[Estimate of Arrears at end of the current FY 2020/21 (value)],MasterTable[[Project Code and Name ]],PAProjects5[[#This Row],[LINKING_CODE]],MasterTable[Funding Source],"GoU Funded")/10^9</f>
        <v>0</v>
      </c>
      <c r="R216" s="29">
        <f t="shared" si="23"/>
        <v>74.756</v>
      </c>
      <c r="S216" s="2"/>
      <c r="T216" s="29">
        <f>PAProjects[[#This Row],[GOU 21/22]]+PAProjects[[#This Row],[DONOR 21/22]]</f>
        <v>74.756</v>
      </c>
      <c r="U216" s="29">
        <f t="shared" si="24"/>
        <v>74.756</v>
      </c>
      <c r="V216" s="2"/>
      <c r="W216" s="29">
        <f>PAProjects[[#This Row],[GOU 22/23]]+PAProjects[[#This Row],[DONOR 22/23]]</f>
        <v>74.756</v>
      </c>
      <c r="X216" s="29">
        <f t="shared" si="25"/>
        <v>74.756</v>
      </c>
      <c r="Y216" s="2"/>
      <c r="Z216" s="29">
        <f t="shared" si="27"/>
        <v>74.756</v>
      </c>
      <c r="AA216" s="29">
        <f t="shared" si="26"/>
        <v>74.756</v>
      </c>
      <c r="AB216" s="2"/>
      <c r="AC216" s="29">
        <f>PAProjects[[#This Row],[GOU 24/25]]+PAProjects[[#This Row],[DONOR 24/25]]</f>
        <v>74.756</v>
      </c>
    </row>
    <row r="217" spans="1:29" ht="15" hidden="1" customHeight="1" x14ac:dyDescent="0.25">
      <c r="A217" s="21" t="s">
        <v>164</v>
      </c>
      <c r="B217" s="2" t="s">
        <v>1366</v>
      </c>
      <c r="C217" s="2" t="e">
        <f ca="1">PAProjects5[[#This Row],[LINKING_CODE]]=_xlfn.CONCAT(PAProjects5[[#This Row],[Project Code]]," ",PAProjects5[[#This Row],[Project Name]])</f>
        <v>#NAME?</v>
      </c>
      <c r="D217" s="2" t="e">
        <f>VLOOKUP(PAProjects5[[#This Row],[LINKING_CODE]],MasterTable[[Project Code and Name ]],1,FALSE)</f>
        <v>#N/A</v>
      </c>
      <c r="E217" s="2" t="s">
        <v>515</v>
      </c>
      <c r="F217" s="2" t="s">
        <v>944</v>
      </c>
      <c r="G217" s="2" t="s">
        <v>118</v>
      </c>
      <c r="H217" s="2" t="s">
        <v>1113</v>
      </c>
      <c r="I217" s="2" t="s">
        <v>1122</v>
      </c>
      <c r="J217" s="2" t="s">
        <v>658</v>
      </c>
      <c r="K217" s="2" t="str">
        <f t="shared" si="21"/>
        <v>Retooling</v>
      </c>
      <c r="L217" s="23">
        <v>44013</v>
      </c>
      <c r="M217" s="23">
        <v>45838</v>
      </c>
      <c r="N217" s="20">
        <v>46.18</v>
      </c>
      <c r="O217" s="20"/>
      <c r="P217" s="20">
        <f t="shared" si="22"/>
        <v>46.18</v>
      </c>
      <c r="Q217" s="20">
        <f>SUMIFS(MasterTable[Estimate of Arrears at end of the current FY 2020/21 (value)],MasterTable[[Project Code and Name ]],PAProjects5[[#This Row],[LINKING_CODE]],MasterTable[Funding Source],"GoU Funded")/10^9</f>
        <v>0</v>
      </c>
      <c r="R217" s="29">
        <f t="shared" si="23"/>
        <v>9.2360000000000007</v>
      </c>
      <c r="S217" s="2"/>
      <c r="T217" s="29">
        <f>PAProjects[[#This Row],[GOU 21/22]]+PAProjects[[#This Row],[DONOR 21/22]]</f>
        <v>9.2360000000000007</v>
      </c>
      <c r="U217" s="29">
        <f t="shared" si="24"/>
        <v>9.2360000000000007</v>
      </c>
      <c r="V217" s="2"/>
      <c r="W217" s="29">
        <f>PAProjects[[#This Row],[GOU 22/23]]+PAProjects[[#This Row],[DONOR 22/23]]</f>
        <v>9.2360000000000007</v>
      </c>
      <c r="X217" s="29">
        <f t="shared" si="25"/>
        <v>9.2360000000000007</v>
      </c>
      <c r="Y217" s="2"/>
      <c r="Z217" s="29">
        <f t="shared" si="27"/>
        <v>9.2360000000000007</v>
      </c>
      <c r="AA217" s="29">
        <f t="shared" si="26"/>
        <v>9.2360000000000007</v>
      </c>
      <c r="AB217" s="2"/>
      <c r="AC217" s="29">
        <f>PAProjects[[#This Row],[GOU 24/25]]+PAProjects[[#This Row],[DONOR 24/25]]</f>
        <v>9.2360000000000007</v>
      </c>
    </row>
    <row r="218" spans="1:29" ht="15" hidden="1" customHeight="1" x14ac:dyDescent="0.25">
      <c r="A218" s="21" t="s">
        <v>167</v>
      </c>
      <c r="B218" s="2" t="s">
        <v>1367</v>
      </c>
      <c r="C218" s="2" t="e">
        <f ca="1">PAProjects5[[#This Row],[LINKING_CODE]]=_xlfn.CONCAT(PAProjects5[[#This Row],[Project Code]]," ",PAProjects5[[#This Row],[Project Name]])</f>
        <v>#NAME?</v>
      </c>
      <c r="D218" s="2" t="e">
        <f>VLOOKUP(PAProjects5[[#This Row],[LINKING_CODE]],MasterTable[[Project Code and Name ]],1,FALSE)</f>
        <v>#N/A</v>
      </c>
      <c r="E218" s="2" t="s">
        <v>516</v>
      </c>
      <c r="F218" s="2" t="s">
        <v>948</v>
      </c>
      <c r="G218" s="2" t="s">
        <v>126</v>
      </c>
      <c r="H218" s="2" t="s">
        <v>1113</v>
      </c>
      <c r="I218" s="2" t="s">
        <v>1124</v>
      </c>
      <c r="J218" s="2" t="s">
        <v>661</v>
      </c>
      <c r="K218" s="2" t="str">
        <f t="shared" si="21"/>
        <v>Retooling</v>
      </c>
      <c r="L218" s="23">
        <v>44013</v>
      </c>
      <c r="M218" s="23">
        <v>45838</v>
      </c>
      <c r="N218" s="24">
        <v>1.3545</v>
      </c>
      <c r="O218" s="20"/>
      <c r="P218" s="20">
        <f t="shared" si="22"/>
        <v>1.3545</v>
      </c>
      <c r="Q218" s="20">
        <f>SUMIFS(MasterTable[Estimate of Arrears at end of the current FY 2020/21 (value)],MasterTable[[Project Code and Name ]],PAProjects5[[#This Row],[LINKING_CODE]],MasterTable[Funding Source],"GoU Funded")/10^9</f>
        <v>0</v>
      </c>
      <c r="R218" s="29">
        <f t="shared" si="23"/>
        <v>0.27090000000000003</v>
      </c>
      <c r="S218" s="2"/>
      <c r="T218" s="29">
        <f>PAProjects[[#This Row],[GOU 21/22]]+PAProjects[[#This Row],[DONOR 21/22]]</f>
        <v>0.27090000000000003</v>
      </c>
      <c r="U218" s="29">
        <f t="shared" si="24"/>
        <v>0.27090000000000003</v>
      </c>
      <c r="V218" s="2"/>
      <c r="W218" s="29">
        <f>PAProjects[[#This Row],[GOU 22/23]]+PAProjects[[#This Row],[DONOR 22/23]]</f>
        <v>0.27090000000000003</v>
      </c>
      <c r="X218" s="29">
        <f t="shared" si="25"/>
        <v>0.27090000000000003</v>
      </c>
      <c r="Y218" s="2"/>
      <c r="Z218" s="29">
        <f t="shared" si="27"/>
        <v>0.27090000000000003</v>
      </c>
      <c r="AA218" s="29">
        <f t="shared" si="26"/>
        <v>0.27090000000000003</v>
      </c>
      <c r="AB218" s="2"/>
      <c r="AC218" s="29">
        <f>PAProjects[[#This Row],[GOU 24/25]]+PAProjects[[#This Row],[DONOR 24/25]]</f>
        <v>0.27090000000000003</v>
      </c>
    </row>
    <row r="219" spans="1:29" ht="15" hidden="1" customHeight="1" x14ac:dyDescent="0.25">
      <c r="A219" s="21" t="s">
        <v>171</v>
      </c>
      <c r="B219" s="2" t="s">
        <v>1368</v>
      </c>
      <c r="C219" s="2" t="e">
        <f ca="1">PAProjects5[[#This Row],[LINKING_CODE]]=_xlfn.CONCAT(PAProjects5[[#This Row],[Project Code]]," ",PAProjects5[[#This Row],[Project Name]])</f>
        <v>#NAME?</v>
      </c>
      <c r="D219" s="2" t="e">
        <f>VLOOKUP(PAProjects5[[#This Row],[LINKING_CODE]],MasterTable[[Project Code and Name ]],1,FALSE)</f>
        <v>#N/A</v>
      </c>
      <c r="E219" s="2" t="s">
        <v>519</v>
      </c>
      <c r="F219" s="2" t="s">
        <v>960</v>
      </c>
      <c r="G219" s="2" t="s">
        <v>961</v>
      </c>
      <c r="H219" s="2" t="s">
        <v>1113</v>
      </c>
      <c r="I219" s="2" t="s">
        <v>1128</v>
      </c>
      <c r="J219" s="2" t="s">
        <v>683</v>
      </c>
      <c r="K219" s="2" t="str">
        <f t="shared" si="21"/>
        <v>Retooling</v>
      </c>
      <c r="L219" s="23">
        <v>44013</v>
      </c>
      <c r="M219" s="23">
        <v>45838</v>
      </c>
      <c r="N219" s="24">
        <v>22</v>
      </c>
      <c r="O219" s="25">
        <v>0</v>
      </c>
      <c r="P219" s="20">
        <f t="shared" si="22"/>
        <v>22</v>
      </c>
      <c r="Q219" s="20">
        <f>SUMIFS(MasterTable[Estimate of Arrears at end of the current FY 2020/21 (value)],MasterTable[[Project Code and Name ]],PAProjects5[[#This Row],[LINKING_CODE]],MasterTable[Funding Source],"GoU Funded")/10^9</f>
        <v>0</v>
      </c>
      <c r="R219" s="29">
        <f t="shared" si="23"/>
        <v>4.4000000000000004</v>
      </c>
      <c r="S219" s="2"/>
      <c r="T219" s="29">
        <f>PAProjects[[#This Row],[GOU 21/22]]+PAProjects[[#This Row],[DONOR 21/22]]</f>
        <v>4.4000000000000004</v>
      </c>
      <c r="U219" s="29">
        <f t="shared" si="24"/>
        <v>4.4000000000000004</v>
      </c>
      <c r="V219" s="2"/>
      <c r="W219" s="29">
        <f>PAProjects[[#This Row],[GOU 22/23]]+PAProjects[[#This Row],[DONOR 22/23]]</f>
        <v>4.4000000000000004</v>
      </c>
      <c r="X219" s="29">
        <f t="shared" si="25"/>
        <v>4.4000000000000004</v>
      </c>
      <c r="Y219" s="2"/>
      <c r="Z219" s="29">
        <f t="shared" si="27"/>
        <v>4.4000000000000004</v>
      </c>
      <c r="AA219" s="29">
        <f t="shared" si="26"/>
        <v>4.4000000000000004</v>
      </c>
      <c r="AB219" s="2"/>
      <c r="AC219" s="29">
        <f>PAProjects[[#This Row],[GOU 24/25]]+PAProjects[[#This Row],[DONOR 24/25]]</f>
        <v>4.4000000000000004</v>
      </c>
    </row>
    <row r="220" spans="1:29" ht="15" hidden="1" customHeight="1" x14ac:dyDescent="0.25">
      <c r="A220" s="21" t="s">
        <v>172</v>
      </c>
      <c r="B220" s="2" t="s">
        <v>1369</v>
      </c>
      <c r="C220" s="2" t="e">
        <f ca="1">PAProjects5[[#This Row],[LINKING_CODE]]=_xlfn.CONCAT(PAProjects5[[#This Row],[Project Code]]," ",PAProjects5[[#This Row],[Project Name]])</f>
        <v>#NAME?</v>
      </c>
      <c r="D220" s="2" t="e">
        <f>VLOOKUP(PAProjects5[[#This Row],[LINKING_CODE]],MasterTable[[Project Code and Name ]],1,FALSE)</f>
        <v>#N/A</v>
      </c>
      <c r="E220" s="2" t="s">
        <v>519</v>
      </c>
      <c r="F220" s="2" t="s">
        <v>960</v>
      </c>
      <c r="G220" s="2" t="s">
        <v>111</v>
      </c>
      <c r="H220" s="2" t="s">
        <v>1113</v>
      </c>
      <c r="I220" s="2" t="s">
        <v>1129</v>
      </c>
      <c r="J220" s="2" t="s">
        <v>688</v>
      </c>
      <c r="K220" s="2" t="str">
        <f t="shared" si="21"/>
        <v>Retooling</v>
      </c>
      <c r="L220" s="23">
        <v>44013</v>
      </c>
      <c r="M220" s="23">
        <v>45838</v>
      </c>
      <c r="N220" s="24">
        <v>11.77</v>
      </c>
      <c r="O220" s="20"/>
      <c r="P220" s="20">
        <f t="shared" si="22"/>
        <v>11.77</v>
      </c>
      <c r="Q220" s="20">
        <f>SUMIFS(MasterTable[Estimate of Arrears at end of the current FY 2020/21 (value)],MasterTable[[Project Code and Name ]],PAProjects5[[#This Row],[LINKING_CODE]],MasterTable[Funding Source],"GoU Funded")/10^9</f>
        <v>0</v>
      </c>
      <c r="R220" s="29">
        <f t="shared" si="23"/>
        <v>2.3540000000000001</v>
      </c>
      <c r="S220" s="2"/>
      <c r="T220" s="29">
        <f>PAProjects[[#This Row],[GOU 21/22]]+PAProjects[[#This Row],[DONOR 21/22]]</f>
        <v>2.3540000000000001</v>
      </c>
      <c r="U220" s="29">
        <f t="shared" si="24"/>
        <v>2.3540000000000001</v>
      </c>
      <c r="V220" s="2"/>
      <c r="W220" s="29">
        <f>PAProjects[[#This Row],[GOU 22/23]]+PAProjects[[#This Row],[DONOR 22/23]]</f>
        <v>2.3540000000000001</v>
      </c>
      <c r="X220" s="29">
        <f t="shared" si="25"/>
        <v>2.3540000000000001</v>
      </c>
      <c r="Y220" s="2"/>
      <c r="Z220" s="29">
        <f t="shared" si="27"/>
        <v>2.3540000000000001</v>
      </c>
      <c r="AA220" s="29">
        <f t="shared" si="26"/>
        <v>2.3540000000000001</v>
      </c>
      <c r="AB220" s="2"/>
      <c r="AC220" s="29">
        <f>PAProjects[[#This Row],[GOU 24/25]]+PAProjects[[#This Row],[DONOR 24/25]]</f>
        <v>2.3540000000000001</v>
      </c>
    </row>
    <row r="221" spans="1:29" ht="15" hidden="1" customHeight="1" x14ac:dyDescent="0.25">
      <c r="A221" s="21" t="s">
        <v>174</v>
      </c>
      <c r="B221" s="2" t="s">
        <v>1370</v>
      </c>
      <c r="C221" s="2" t="e">
        <f ca="1">PAProjects5[[#This Row],[LINKING_CODE]]=_xlfn.CONCAT(PAProjects5[[#This Row],[Project Code]]," ",PAProjects5[[#This Row],[Project Name]])</f>
        <v>#NAME?</v>
      </c>
      <c r="D221" s="2" t="e">
        <f>VLOOKUP(PAProjects5[[#This Row],[LINKING_CODE]],MasterTable[[Project Code and Name ]],1,FALSE)</f>
        <v>#N/A</v>
      </c>
      <c r="E221" s="2" t="s">
        <v>519</v>
      </c>
      <c r="F221" s="2" t="s">
        <v>960</v>
      </c>
      <c r="G221" s="2" t="s">
        <v>127</v>
      </c>
      <c r="H221" s="2" t="s">
        <v>1113</v>
      </c>
      <c r="I221" s="2" t="s">
        <v>1130</v>
      </c>
      <c r="J221" s="2" t="s">
        <v>696</v>
      </c>
      <c r="K221" s="2" t="str">
        <f t="shared" si="21"/>
        <v>Retooling</v>
      </c>
      <c r="L221" s="23">
        <v>44013</v>
      </c>
      <c r="M221" s="23">
        <v>45838</v>
      </c>
      <c r="N221" s="20">
        <v>4.2</v>
      </c>
      <c r="O221" s="20"/>
      <c r="P221" s="20">
        <f t="shared" si="22"/>
        <v>4.2</v>
      </c>
      <c r="Q221" s="20">
        <f>SUMIFS(MasterTable[Estimate of Arrears at end of the current FY 2020/21 (value)],MasterTable[[Project Code and Name ]],PAProjects5[[#This Row],[LINKING_CODE]],MasterTable[Funding Source],"GoU Funded")/10^9</f>
        <v>0</v>
      </c>
      <c r="R221" s="29">
        <f t="shared" si="23"/>
        <v>0.84000000000000008</v>
      </c>
      <c r="S221" s="2"/>
      <c r="T221" s="29">
        <f>PAProjects[[#This Row],[GOU 21/22]]+PAProjects[[#This Row],[DONOR 21/22]]</f>
        <v>0.84000000000000008</v>
      </c>
      <c r="U221" s="29">
        <f t="shared" si="24"/>
        <v>0.84000000000000008</v>
      </c>
      <c r="V221" s="2"/>
      <c r="W221" s="29">
        <f>PAProjects[[#This Row],[GOU 22/23]]+PAProjects[[#This Row],[DONOR 22/23]]</f>
        <v>0.84000000000000008</v>
      </c>
      <c r="X221" s="29">
        <f t="shared" si="25"/>
        <v>0.84000000000000008</v>
      </c>
      <c r="Y221" s="2"/>
      <c r="Z221" s="29">
        <f t="shared" si="27"/>
        <v>0.84000000000000008</v>
      </c>
      <c r="AA221" s="29">
        <f t="shared" si="26"/>
        <v>0.84000000000000008</v>
      </c>
      <c r="AB221" s="2"/>
      <c r="AC221" s="29">
        <f>PAProjects[[#This Row],[GOU 24/25]]+PAProjects[[#This Row],[DONOR 24/25]]</f>
        <v>0.84000000000000008</v>
      </c>
    </row>
    <row r="222" spans="1:29" ht="15" hidden="1" customHeight="1" x14ac:dyDescent="0.25">
      <c r="A222" s="21" t="s">
        <v>175</v>
      </c>
      <c r="B222" s="2" t="s">
        <v>1371</v>
      </c>
      <c r="C222" s="2" t="e">
        <f ca="1">PAProjects5[[#This Row],[LINKING_CODE]]=_xlfn.CONCAT(PAProjects5[[#This Row],[Project Code]]," ",PAProjects5[[#This Row],[Project Name]])</f>
        <v>#NAME?</v>
      </c>
      <c r="D222" s="2" t="e">
        <f>VLOOKUP(PAProjects5[[#This Row],[LINKING_CODE]],MasterTable[[Project Code and Name ]],1,FALSE)</f>
        <v>#N/A</v>
      </c>
      <c r="E222" s="2" t="s">
        <v>519</v>
      </c>
      <c r="F222" s="2" t="s">
        <v>960</v>
      </c>
      <c r="G222" s="2" t="s">
        <v>128</v>
      </c>
      <c r="H222" s="2" t="s">
        <v>1113</v>
      </c>
      <c r="I222" s="2" t="s">
        <v>1131</v>
      </c>
      <c r="J222" s="2" t="s">
        <v>691</v>
      </c>
      <c r="K222" s="2" t="str">
        <f t="shared" si="21"/>
        <v>Retooling</v>
      </c>
      <c r="L222" s="23">
        <v>44013</v>
      </c>
      <c r="M222" s="23">
        <v>45838</v>
      </c>
      <c r="N222" s="24">
        <v>38.49</v>
      </c>
      <c r="O222" s="25">
        <v>0</v>
      </c>
      <c r="P222" s="20">
        <f t="shared" si="22"/>
        <v>38.49</v>
      </c>
      <c r="Q222" s="20">
        <f>SUMIFS(MasterTable[Estimate of Arrears at end of the current FY 2020/21 (value)],MasterTable[[Project Code and Name ]],PAProjects5[[#This Row],[LINKING_CODE]],MasterTable[Funding Source],"GoU Funded")/10^9</f>
        <v>0</v>
      </c>
      <c r="R222" s="29">
        <f t="shared" si="23"/>
        <v>7.6980000000000004</v>
      </c>
      <c r="S222" s="2"/>
      <c r="T222" s="29">
        <f>PAProjects[[#This Row],[GOU 21/22]]+PAProjects[[#This Row],[DONOR 21/22]]</f>
        <v>7.6980000000000004</v>
      </c>
      <c r="U222" s="29">
        <f t="shared" si="24"/>
        <v>7.6980000000000004</v>
      </c>
      <c r="V222" s="2"/>
      <c r="W222" s="29">
        <f>PAProjects[[#This Row],[GOU 22/23]]+PAProjects[[#This Row],[DONOR 22/23]]</f>
        <v>7.6980000000000004</v>
      </c>
      <c r="X222" s="29">
        <f t="shared" si="25"/>
        <v>7.6980000000000004</v>
      </c>
      <c r="Y222" s="2"/>
      <c r="Z222" s="29">
        <f t="shared" si="27"/>
        <v>7.6980000000000004</v>
      </c>
      <c r="AA222" s="29">
        <f t="shared" si="26"/>
        <v>7.6980000000000004</v>
      </c>
      <c r="AB222" s="2"/>
      <c r="AC222" s="29">
        <f>PAProjects[[#This Row],[GOU 24/25]]+PAProjects[[#This Row],[DONOR 24/25]]</f>
        <v>7.6980000000000004</v>
      </c>
    </row>
    <row r="223" spans="1:29" ht="15" hidden="1" customHeight="1" x14ac:dyDescent="0.25">
      <c r="A223" s="21" t="s">
        <v>176</v>
      </c>
      <c r="B223" s="2" t="s">
        <v>1372</v>
      </c>
      <c r="C223" s="2" t="e">
        <f ca="1">PAProjects5[[#This Row],[LINKING_CODE]]=_xlfn.CONCAT(PAProjects5[[#This Row],[Project Code]]," ",PAProjects5[[#This Row],[Project Name]])</f>
        <v>#NAME?</v>
      </c>
      <c r="D223" s="2" t="e">
        <f>VLOOKUP(PAProjects5[[#This Row],[LINKING_CODE]],MasterTable[[Project Code and Name ]],1,FALSE)</f>
        <v>#N/A</v>
      </c>
      <c r="E223" s="2" t="s">
        <v>519</v>
      </c>
      <c r="F223" s="2" t="s">
        <v>960</v>
      </c>
      <c r="G223" s="2" t="s">
        <v>132</v>
      </c>
      <c r="H223" s="2" t="s">
        <v>1113</v>
      </c>
      <c r="I223" s="2" t="s">
        <v>1132</v>
      </c>
      <c r="J223" s="2" t="s">
        <v>684</v>
      </c>
      <c r="K223" s="2" t="str">
        <f t="shared" si="21"/>
        <v>Retooling</v>
      </c>
      <c r="L223" s="23">
        <v>44013</v>
      </c>
      <c r="M223" s="23">
        <v>45838</v>
      </c>
      <c r="N223" s="20">
        <v>11.8</v>
      </c>
      <c r="O223" s="20"/>
      <c r="P223" s="20">
        <f t="shared" si="22"/>
        <v>11.8</v>
      </c>
      <c r="Q223" s="20">
        <f>SUMIFS(MasterTable[Estimate of Arrears at end of the current FY 2020/21 (value)],MasterTable[[Project Code and Name ]],PAProjects5[[#This Row],[LINKING_CODE]],MasterTable[Funding Source],"GoU Funded")/10^9</f>
        <v>0</v>
      </c>
      <c r="R223" s="29">
        <f t="shared" si="23"/>
        <v>2.3600000000000003</v>
      </c>
      <c r="S223" s="2"/>
      <c r="T223" s="29">
        <f>PAProjects[[#This Row],[GOU 21/22]]+PAProjects[[#This Row],[DONOR 21/22]]</f>
        <v>2.3600000000000003</v>
      </c>
      <c r="U223" s="29">
        <f t="shared" si="24"/>
        <v>2.3600000000000003</v>
      </c>
      <c r="V223" s="2"/>
      <c r="W223" s="29">
        <f>PAProjects[[#This Row],[GOU 22/23]]+PAProjects[[#This Row],[DONOR 22/23]]</f>
        <v>2.3600000000000003</v>
      </c>
      <c r="X223" s="29">
        <f t="shared" si="25"/>
        <v>2.3600000000000003</v>
      </c>
      <c r="Y223" s="2"/>
      <c r="Z223" s="29">
        <f t="shared" si="27"/>
        <v>2.3600000000000003</v>
      </c>
      <c r="AA223" s="29">
        <f t="shared" si="26"/>
        <v>2.3600000000000003</v>
      </c>
      <c r="AB223" s="2"/>
      <c r="AC223" s="29">
        <f>PAProjects[[#This Row],[GOU 24/25]]+PAProjects[[#This Row],[DONOR 24/25]]</f>
        <v>2.3600000000000003</v>
      </c>
    </row>
    <row r="224" spans="1:29" ht="15" hidden="1" customHeight="1" x14ac:dyDescent="0.25">
      <c r="A224" s="21" t="s">
        <v>177</v>
      </c>
      <c r="B224" s="2" t="s">
        <v>1373</v>
      </c>
      <c r="C224" s="2" t="e">
        <f ca="1">PAProjects5[[#This Row],[LINKING_CODE]]=_xlfn.CONCAT(PAProjects5[[#This Row],[Project Code]]," ",PAProjects5[[#This Row],[Project Name]])</f>
        <v>#NAME?</v>
      </c>
      <c r="D224" s="2" t="e">
        <f>VLOOKUP(PAProjects5[[#This Row],[LINKING_CODE]],MasterTable[[Project Code and Name ]],1,FALSE)</f>
        <v>#N/A</v>
      </c>
      <c r="E224" s="2" t="s">
        <v>519</v>
      </c>
      <c r="F224" s="2" t="s">
        <v>960</v>
      </c>
      <c r="G224" s="2" t="s">
        <v>136</v>
      </c>
      <c r="H224" s="2" t="s">
        <v>1113</v>
      </c>
      <c r="I224" s="2" t="s">
        <v>1133</v>
      </c>
      <c r="J224" s="2" t="s">
        <v>685</v>
      </c>
      <c r="K224" s="2" t="str">
        <f t="shared" si="21"/>
        <v>Retooling</v>
      </c>
      <c r="L224" s="23">
        <v>44013</v>
      </c>
      <c r="M224" s="23">
        <v>45838</v>
      </c>
      <c r="N224" s="20">
        <v>500</v>
      </c>
      <c r="O224" s="20"/>
      <c r="P224" s="20">
        <f t="shared" si="22"/>
        <v>500</v>
      </c>
      <c r="Q224" s="20">
        <f>SUMIFS(MasterTable[Estimate of Arrears at end of the current FY 2020/21 (value)],MasterTable[[Project Code and Name ]],PAProjects5[[#This Row],[LINKING_CODE]],MasterTable[Funding Source],"GoU Funded")/10^9</f>
        <v>0</v>
      </c>
      <c r="R224" s="29">
        <f t="shared" si="23"/>
        <v>100</v>
      </c>
      <c r="S224" s="2"/>
      <c r="T224" s="29">
        <f>PAProjects[[#This Row],[GOU 21/22]]+PAProjects[[#This Row],[DONOR 21/22]]</f>
        <v>100</v>
      </c>
      <c r="U224" s="29">
        <f t="shared" si="24"/>
        <v>100</v>
      </c>
      <c r="V224" s="2"/>
      <c r="W224" s="29">
        <f>PAProjects[[#This Row],[GOU 22/23]]+PAProjects[[#This Row],[DONOR 22/23]]</f>
        <v>100</v>
      </c>
      <c r="X224" s="29">
        <f t="shared" si="25"/>
        <v>100</v>
      </c>
      <c r="Y224" s="2"/>
      <c r="Z224" s="29">
        <f t="shared" si="27"/>
        <v>100</v>
      </c>
      <c r="AA224" s="29">
        <f t="shared" si="26"/>
        <v>100</v>
      </c>
      <c r="AB224" s="2"/>
      <c r="AC224" s="29">
        <f>PAProjects[[#This Row],[GOU 24/25]]+PAProjects[[#This Row],[DONOR 24/25]]</f>
        <v>100</v>
      </c>
    </row>
    <row r="225" spans="1:29" ht="15" hidden="1" customHeight="1" x14ac:dyDescent="0.25">
      <c r="A225" s="21" t="s">
        <v>179</v>
      </c>
      <c r="B225" s="2" t="s">
        <v>1374</v>
      </c>
      <c r="C225" s="2" t="e">
        <f ca="1">PAProjects5[[#This Row],[LINKING_CODE]]=_xlfn.CONCAT(PAProjects5[[#This Row],[Project Code]]," ",PAProjects5[[#This Row],[Project Name]])</f>
        <v>#NAME?</v>
      </c>
      <c r="D225" s="2" t="e">
        <f>VLOOKUP(PAProjects5[[#This Row],[LINKING_CODE]],MasterTable[[Project Code and Name ]],1,FALSE)</f>
        <v>#N/A</v>
      </c>
      <c r="E225" s="2" t="s">
        <v>519</v>
      </c>
      <c r="F225" s="2" t="s">
        <v>960</v>
      </c>
      <c r="G225" s="2" t="s">
        <v>138</v>
      </c>
      <c r="H225" s="2" t="s">
        <v>1113</v>
      </c>
      <c r="I225" s="2" t="s">
        <v>1135</v>
      </c>
      <c r="J225" s="2" t="s">
        <v>689</v>
      </c>
      <c r="K225" s="2" t="str">
        <f t="shared" si="21"/>
        <v>Retooling</v>
      </c>
      <c r="L225" s="23">
        <v>44013</v>
      </c>
      <c r="M225" s="23">
        <v>45838</v>
      </c>
      <c r="N225" s="20">
        <v>10</v>
      </c>
      <c r="O225" s="20"/>
      <c r="P225" s="20">
        <f t="shared" si="22"/>
        <v>10</v>
      </c>
      <c r="Q225" s="20">
        <f>SUMIFS(MasterTable[Estimate of Arrears at end of the current FY 2020/21 (value)],MasterTable[[Project Code and Name ]],PAProjects5[[#This Row],[LINKING_CODE]],MasterTable[Funding Source],"GoU Funded")/10^9</f>
        <v>0</v>
      </c>
      <c r="R225" s="29">
        <f t="shared" si="23"/>
        <v>2</v>
      </c>
      <c r="S225" s="2"/>
      <c r="T225" s="29">
        <f>PAProjects[[#This Row],[GOU 21/22]]+PAProjects[[#This Row],[DONOR 21/22]]</f>
        <v>2</v>
      </c>
      <c r="U225" s="29">
        <f t="shared" si="24"/>
        <v>2</v>
      </c>
      <c r="V225" s="2"/>
      <c r="W225" s="29">
        <f>PAProjects[[#This Row],[GOU 22/23]]+PAProjects[[#This Row],[DONOR 22/23]]</f>
        <v>2</v>
      </c>
      <c r="X225" s="29">
        <f t="shared" si="25"/>
        <v>2</v>
      </c>
      <c r="Y225" s="2"/>
      <c r="Z225" s="29">
        <f t="shared" si="27"/>
        <v>2</v>
      </c>
      <c r="AA225" s="29">
        <f t="shared" si="26"/>
        <v>2</v>
      </c>
      <c r="AB225" s="2"/>
      <c r="AC225" s="29">
        <f>PAProjects[[#This Row],[GOU 24/25]]+PAProjects[[#This Row],[DONOR 24/25]]</f>
        <v>2</v>
      </c>
    </row>
    <row r="226" spans="1:29" ht="15" hidden="1" customHeight="1" x14ac:dyDescent="0.25">
      <c r="A226" s="21" t="s">
        <v>180</v>
      </c>
      <c r="B226" s="2" t="s">
        <v>1375</v>
      </c>
      <c r="C226" s="2" t="e">
        <f ca="1">PAProjects5[[#This Row],[LINKING_CODE]]=_xlfn.CONCAT(PAProjects5[[#This Row],[Project Code]]," ",PAProjects5[[#This Row],[Project Name]])</f>
        <v>#NAME?</v>
      </c>
      <c r="D226" s="2" t="e">
        <f>VLOOKUP(PAProjects5[[#This Row],[LINKING_CODE]],MasterTable[[Project Code and Name ]],1,FALSE)</f>
        <v>#N/A</v>
      </c>
      <c r="E226" s="2" t="s">
        <v>519</v>
      </c>
      <c r="F226" s="2" t="s">
        <v>960</v>
      </c>
      <c r="G226" s="2" t="s">
        <v>139</v>
      </c>
      <c r="H226" s="2" t="s">
        <v>1113</v>
      </c>
      <c r="I226" s="2" t="s">
        <v>1136</v>
      </c>
      <c r="J226" s="2" t="s">
        <v>686</v>
      </c>
      <c r="K226" s="2" t="str">
        <f t="shared" si="21"/>
        <v>Retooling</v>
      </c>
      <c r="L226" s="23">
        <v>44013</v>
      </c>
      <c r="M226" s="23">
        <v>45838</v>
      </c>
      <c r="N226" s="20">
        <v>24</v>
      </c>
      <c r="O226" s="20"/>
      <c r="P226" s="20">
        <f t="shared" si="22"/>
        <v>24</v>
      </c>
      <c r="Q226" s="20">
        <f>SUMIFS(MasterTable[Estimate of Arrears at end of the current FY 2020/21 (value)],MasterTable[[Project Code and Name ]],PAProjects5[[#This Row],[LINKING_CODE]],MasterTable[Funding Source],"GoU Funded")/10^9</f>
        <v>0</v>
      </c>
      <c r="R226" s="29">
        <f t="shared" si="23"/>
        <v>4.8</v>
      </c>
      <c r="S226" s="2"/>
      <c r="T226" s="29">
        <f>PAProjects[[#This Row],[GOU 21/22]]+PAProjects[[#This Row],[DONOR 21/22]]</f>
        <v>4.8</v>
      </c>
      <c r="U226" s="29">
        <f t="shared" si="24"/>
        <v>4.8</v>
      </c>
      <c r="V226" s="2"/>
      <c r="W226" s="29">
        <f>PAProjects[[#This Row],[GOU 22/23]]+PAProjects[[#This Row],[DONOR 22/23]]</f>
        <v>4.8</v>
      </c>
      <c r="X226" s="29">
        <f t="shared" si="25"/>
        <v>4.8</v>
      </c>
      <c r="Y226" s="2"/>
      <c r="Z226" s="29">
        <f t="shared" si="27"/>
        <v>4.8</v>
      </c>
      <c r="AA226" s="29">
        <f t="shared" si="26"/>
        <v>4.8</v>
      </c>
      <c r="AB226" s="2"/>
      <c r="AC226" s="29">
        <f>PAProjects[[#This Row],[GOU 24/25]]+PAProjects[[#This Row],[DONOR 24/25]]</f>
        <v>4.8</v>
      </c>
    </row>
    <row r="227" spans="1:29" ht="15" hidden="1" customHeight="1" x14ac:dyDescent="0.25">
      <c r="A227" s="21" t="s">
        <v>181</v>
      </c>
      <c r="B227" s="2" t="s">
        <v>1376</v>
      </c>
      <c r="C227" s="2" t="e">
        <f ca="1">PAProjects5[[#This Row],[LINKING_CODE]]=_xlfn.CONCAT(PAProjects5[[#This Row],[Project Code]]," ",PAProjects5[[#This Row],[Project Name]])</f>
        <v>#NAME?</v>
      </c>
      <c r="D227" s="2" t="e">
        <f>VLOOKUP(PAProjects5[[#This Row],[LINKING_CODE]],MasterTable[[Project Code and Name ]],1,FALSE)</f>
        <v>#N/A</v>
      </c>
      <c r="E227" s="2" t="s">
        <v>519</v>
      </c>
      <c r="F227" s="2" t="s">
        <v>960</v>
      </c>
      <c r="G227" s="2" t="s">
        <v>149</v>
      </c>
      <c r="H227" s="2" t="s">
        <v>1113</v>
      </c>
      <c r="I227" s="2" t="s">
        <v>1137</v>
      </c>
      <c r="J227" s="2" t="s">
        <v>690</v>
      </c>
      <c r="K227" s="2" t="str">
        <f t="shared" si="21"/>
        <v>Retooling</v>
      </c>
      <c r="L227" s="23">
        <v>44013</v>
      </c>
      <c r="M227" s="23">
        <v>45838</v>
      </c>
      <c r="N227" s="20">
        <v>44.848766126999998</v>
      </c>
      <c r="O227" s="20"/>
      <c r="P227" s="20">
        <f t="shared" si="22"/>
        <v>44.848766126999998</v>
      </c>
      <c r="Q227" s="20">
        <f>SUMIFS(MasterTable[Estimate of Arrears at end of the current FY 2020/21 (value)],MasterTable[[Project Code and Name ]],PAProjects5[[#This Row],[LINKING_CODE]],MasterTable[Funding Source],"GoU Funded")/10^9</f>
        <v>0</v>
      </c>
      <c r="R227" s="29">
        <v>13.659071757</v>
      </c>
      <c r="S227" s="2"/>
      <c r="T227" s="29">
        <f>PAProjects[[#This Row],[GOU 21/22]]+PAProjects[[#This Row],[DONOR 21/22]]</f>
        <v>13.659071757</v>
      </c>
      <c r="U227" s="29">
        <v>12</v>
      </c>
      <c r="V227" s="2"/>
      <c r="W227" s="29">
        <f>PAProjects[[#This Row],[GOU 22/23]]+PAProjects[[#This Row],[DONOR 22/23]]</f>
        <v>12</v>
      </c>
      <c r="X227" s="29">
        <v>2.9220451199999999</v>
      </c>
      <c r="Y227" s="2"/>
      <c r="Z227" s="29">
        <f t="shared" si="27"/>
        <v>2.9220451199999999</v>
      </c>
      <c r="AA227" s="29">
        <v>2.9220451199999999</v>
      </c>
      <c r="AB227" s="2"/>
      <c r="AC227" s="29">
        <f>PAProjects[[#This Row],[GOU 24/25]]+PAProjects[[#This Row],[DONOR 24/25]]</f>
        <v>2.9220451199999999</v>
      </c>
    </row>
    <row r="228" spans="1:29" ht="15" hidden="1" customHeight="1" x14ac:dyDescent="0.25">
      <c r="A228" s="21" t="s">
        <v>182</v>
      </c>
      <c r="B228" s="2" t="s">
        <v>1377</v>
      </c>
      <c r="C228" s="2" t="e">
        <f ca="1">PAProjects5[[#This Row],[LINKING_CODE]]=_xlfn.CONCAT(PAProjects5[[#This Row],[Project Code]]," ",PAProjects5[[#This Row],[Project Name]])</f>
        <v>#NAME?</v>
      </c>
      <c r="D228" s="2" t="e">
        <f>VLOOKUP(PAProjects5[[#This Row],[LINKING_CODE]],MasterTable[[Project Code and Name ]],1,FALSE)</f>
        <v>#N/A</v>
      </c>
      <c r="E228" s="2" t="s">
        <v>519</v>
      </c>
      <c r="F228" s="2" t="s">
        <v>960</v>
      </c>
      <c r="G228" s="2" t="s">
        <v>301</v>
      </c>
      <c r="H228" s="2" t="s">
        <v>1113</v>
      </c>
      <c r="I228" s="2" t="s">
        <v>1138</v>
      </c>
      <c r="J228" s="2" t="s">
        <v>1139</v>
      </c>
      <c r="K228" s="2" t="str">
        <f t="shared" si="21"/>
        <v>Retooling</v>
      </c>
      <c r="L228" s="23">
        <v>42917</v>
      </c>
      <c r="M228" s="23">
        <v>44742</v>
      </c>
      <c r="N228" s="20">
        <v>5.8570000000000002</v>
      </c>
      <c r="O228" s="20"/>
      <c r="P228" s="20">
        <f t="shared" si="22"/>
        <v>5.8570000000000002</v>
      </c>
      <c r="Q228" s="20">
        <f>SUMIFS(MasterTable[Estimate of Arrears at end of the current FY 2020/21 (value)],MasterTable[[Project Code and Name ]],PAProjects5[[#This Row],[LINKING_CODE]],MasterTable[Funding Source],"GoU Funded")/10^9</f>
        <v>0</v>
      </c>
      <c r="R228" s="44">
        <v>2</v>
      </c>
      <c r="S228" s="2"/>
      <c r="T228" s="49">
        <f>PAProjects[[#This Row],[GOU 21/22]]+PAProjects[[#This Row],[DONOR 21/22]]</f>
        <v>2</v>
      </c>
      <c r="U228" s="2"/>
      <c r="V228" s="2"/>
      <c r="W228" s="49">
        <f>PAProjects[[#This Row],[GOU 22/23]]+PAProjects[[#This Row],[DONOR 22/23]]</f>
        <v>0</v>
      </c>
      <c r="X228" s="2"/>
      <c r="Y228" s="2"/>
      <c r="Z228" s="2">
        <f t="shared" si="27"/>
        <v>0</v>
      </c>
      <c r="AA228" s="2"/>
      <c r="AB228" s="2"/>
      <c r="AC228" s="49">
        <f>PAProjects[[#This Row],[GOU 24/25]]+PAProjects[[#This Row],[DONOR 24/25]]</f>
        <v>0</v>
      </c>
    </row>
    <row r="229" spans="1:29" ht="15" hidden="1" customHeight="1" x14ac:dyDescent="0.25">
      <c r="A229" s="21" t="s">
        <v>183</v>
      </c>
      <c r="B229" s="2" t="s">
        <v>1378</v>
      </c>
      <c r="C229" s="2" t="e">
        <f ca="1">PAProjects5[[#This Row],[LINKING_CODE]]=_xlfn.CONCAT(PAProjects5[[#This Row],[Project Code]]," ",PAProjects5[[#This Row],[Project Name]])</f>
        <v>#NAME?</v>
      </c>
      <c r="D229" s="2" t="e">
        <f>VLOOKUP(PAProjects5[[#This Row],[LINKING_CODE]],MasterTable[[Project Code and Name ]],1,FALSE)</f>
        <v>#N/A</v>
      </c>
      <c r="E229" s="2" t="s">
        <v>519</v>
      </c>
      <c r="F229" s="2" t="s">
        <v>960</v>
      </c>
      <c r="G229" s="2" t="s">
        <v>303</v>
      </c>
      <c r="H229" s="2" t="s">
        <v>1113</v>
      </c>
      <c r="I229" s="2" t="s">
        <v>1140</v>
      </c>
      <c r="J229" s="2" t="s">
        <v>695</v>
      </c>
      <c r="K229" s="2" t="str">
        <f t="shared" si="21"/>
        <v>Retooling</v>
      </c>
      <c r="L229" s="23">
        <v>44013</v>
      </c>
      <c r="M229" s="23">
        <v>45838</v>
      </c>
      <c r="N229" s="20">
        <v>22.3</v>
      </c>
      <c r="O229" s="20"/>
      <c r="P229" s="20">
        <f t="shared" si="22"/>
        <v>22.3</v>
      </c>
      <c r="Q229" s="20">
        <f>SUMIFS(MasterTable[Estimate of Arrears at end of the current FY 2020/21 (value)],MasterTable[[Project Code and Name ]],PAProjects5[[#This Row],[LINKING_CODE]],MasterTable[Funding Source],"GoU Funded")/10^9</f>
        <v>0</v>
      </c>
      <c r="R229" s="29">
        <f>N229/5</f>
        <v>4.46</v>
      </c>
      <c r="S229" s="2"/>
      <c r="T229" s="29">
        <f>PAProjects[[#This Row],[GOU 21/22]]+PAProjects[[#This Row],[DONOR 21/22]]</f>
        <v>4.46</v>
      </c>
      <c r="U229" s="29">
        <f>R229</f>
        <v>4.46</v>
      </c>
      <c r="V229" s="2"/>
      <c r="W229" s="29">
        <f>PAProjects[[#This Row],[GOU 22/23]]+PAProjects[[#This Row],[DONOR 22/23]]</f>
        <v>4.46</v>
      </c>
      <c r="X229" s="29">
        <f>U229</f>
        <v>4.46</v>
      </c>
      <c r="Y229" s="2"/>
      <c r="Z229" s="29">
        <f t="shared" si="27"/>
        <v>4.46</v>
      </c>
      <c r="AA229" s="29">
        <f>X229</f>
        <v>4.46</v>
      </c>
      <c r="AB229" s="2"/>
      <c r="AC229" s="29">
        <f>PAProjects[[#This Row],[GOU 24/25]]+PAProjects[[#This Row],[DONOR 24/25]]</f>
        <v>4.46</v>
      </c>
    </row>
    <row r="230" spans="1:29" ht="15" hidden="1" customHeight="1" x14ac:dyDescent="0.25">
      <c r="A230" s="21" t="s">
        <v>184</v>
      </c>
      <c r="B230" s="2" t="s">
        <v>1379</v>
      </c>
      <c r="C230" s="2" t="e">
        <f ca="1">PAProjects5[[#This Row],[LINKING_CODE]]=_xlfn.CONCAT(PAProjects5[[#This Row],[Project Code]]," ",PAProjects5[[#This Row],[Project Name]])</f>
        <v>#NAME?</v>
      </c>
      <c r="D230" s="2" t="e">
        <f>VLOOKUP(PAProjects5[[#This Row],[LINKING_CODE]],MasterTable[[Project Code and Name ]],1,FALSE)</f>
        <v>#N/A</v>
      </c>
      <c r="E230" s="2" t="s">
        <v>519</v>
      </c>
      <c r="F230" s="2" t="s">
        <v>960</v>
      </c>
      <c r="G230" s="2" t="s">
        <v>307</v>
      </c>
      <c r="H230" s="2" t="s">
        <v>1113</v>
      </c>
      <c r="I230" s="2" t="s">
        <v>1141</v>
      </c>
      <c r="J230" s="2" t="s">
        <v>687</v>
      </c>
      <c r="K230" s="2" t="str">
        <f t="shared" si="21"/>
        <v>Retooling</v>
      </c>
      <c r="L230" s="23">
        <v>44013</v>
      </c>
      <c r="M230" s="23">
        <v>45838</v>
      </c>
      <c r="N230" s="20">
        <v>35.050031584000003</v>
      </c>
      <c r="O230" s="20"/>
      <c r="P230" s="20">
        <f t="shared" si="22"/>
        <v>35.050031584000003</v>
      </c>
      <c r="Q230" s="20">
        <f>SUMIFS(MasterTable[Estimate of Arrears at end of the current FY 2020/21 (value)],MasterTable[[Project Code and Name ]],PAProjects5[[#This Row],[LINKING_CODE]],MasterTable[Funding Source],"GoU Funded")/10^9</f>
        <v>0</v>
      </c>
      <c r="R230" s="29">
        <v>9.0239813669999993</v>
      </c>
      <c r="S230" s="2"/>
      <c r="T230" s="29">
        <f>PAProjects[[#This Row],[GOU 21/22]]+PAProjects[[#This Row],[DONOR 21/22]]</f>
        <v>9.0239813669999993</v>
      </c>
      <c r="U230" s="29">
        <v>5.0312852299999999</v>
      </c>
      <c r="V230" s="2"/>
      <c r="W230" s="29">
        <f>PAProjects[[#This Row],[GOU 22/23]]+PAProjects[[#This Row],[DONOR 22/23]]</f>
        <v>5.0312852299999999</v>
      </c>
      <c r="X230" s="29">
        <v>5.6835598799999998</v>
      </c>
      <c r="Y230" s="2"/>
      <c r="Z230" s="29">
        <f t="shared" si="27"/>
        <v>5.6835598799999998</v>
      </c>
      <c r="AA230" s="29">
        <v>7.7061227499999996</v>
      </c>
      <c r="AB230" s="2"/>
      <c r="AC230" s="29">
        <f>PAProjects[[#This Row],[GOU 24/25]]+PAProjects[[#This Row],[DONOR 24/25]]</f>
        <v>7.7061227499999996</v>
      </c>
    </row>
    <row r="231" spans="1:29" ht="15" hidden="1" customHeight="1" x14ac:dyDescent="0.25">
      <c r="A231" s="21" t="s">
        <v>187</v>
      </c>
      <c r="B231" s="2" t="s">
        <v>1380</v>
      </c>
      <c r="C231" s="2" t="e">
        <f ca="1">PAProjects5[[#This Row],[LINKING_CODE]]=_xlfn.CONCAT(PAProjects5[[#This Row],[Project Code]]," ",PAProjects5[[#This Row],[Project Name]])</f>
        <v>#NAME?</v>
      </c>
      <c r="D231" s="2" t="e">
        <f>VLOOKUP(PAProjects5[[#This Row],[LINKING_CODE]],MasterTable[[Project Code and Name ]],1,FALSE)</f>
        <v>#N/A</v>
      </c>
      <c r="E231" s="2" t="s">
        <v>520</v>
      </c>
      <c r="F231" s="2" t="s">
        <v>975</v>
      </c>
      <c r="G231" s="2" t="s">
        <v>107</v>
      </c>
      <c r="H231" s="2" t="s">
        <v>1113</v>
      </c>
      <c r="I231" s="2" t="s">
        <v>1144</v>
      </c>
      <c r="J231" s="2" t="s">
        <v>870</v>
      </c>
      <c r="K231" s="2" t="str">
        <f t="shared" si="21"/>
        <v>Retooling</v>
      </c>
      <c r="L231" s="23">
        <v>44013</v>
      </c>
      <c r="M231" s="23">
        <v>45838</v>
      </c>
      <c r="N231" s="36">
        <v>9.25</v>
      </c>
      <c r="O231" s="20"/>
      <c r="P231" s="20">
        <f t="shared" si="22"/>
        <v>9.25</v>
      </c>
      <c r="Q231" s="20">
        <f>SUMIFS(MasterTable[Estimate of Arrears at end of the current FY 2020/21 (value)],MasterTable[[Project Code and Name ]],PAProjects5[[#This Row],[LINKING_CODE]],MasterTable[Funding Source],"GoU Funded")/10^9</f>
        <v>0</v>
      </c>
      <c r="R231" s="29">
        <f t="shared" ref="R231:R257" si="28">N231/5</f>
        <v>1.85</v>
      </c>
      <c r="S231" s="2"/>
      <c r="T231" s="29">
        <f>PAProjects[[#This Row],[GOU 21/22]]+PAProjects[[#This Row],[DONOR 21/22]]</f>
        <v>1.85</v>
      </c>
      <c r="U231" s="29">
        <f t="shared" ref="U231:U257" si="29">R231</f>
        <v>1.85</v>
      </c>
      <c r="V231" s="2"/>
      <c r="W231" s="29">
        <f>PAProjects[[#This Row],[GOU 22/23]]+PAProjects[[#This Row],[DONOR 22/23]]</f>
        <v>1.85</v>
      </c>
      <c r="X231" s="29">
        <f t="shared" ref="X231:X257" si="30">U231</f>
        <v>1.85</v>
      </c>
      <c r="Y231" s="2"/>
      <c r="Z231" s="29">
        <f t="shared" si="27"/>
        <v>1.85</v>
      </c>
      <c r="AA231" s="29">
        <f t="shared" ref="AA231:AA257" si="31">X231</f>
        <v>1.85</v>
      </c>
      <c r="AB231" s="2"/>
      <c r="AC231" s="29">
        <f>PAProjects[[#This Row],[GOU 24/25]]+PAProjects[[#This Row],[DONOR 24/25]]</f>
        <v>1.85</v>
      </c>
    </row>
    <row r="232" spans="1:29" ht="15" hidden="1" customHeight="1" x14ac:dyDescent="0.25">
      <c r="A232" s="21" t="s">
        <v>188</v>
      </c>
      <c r="B232" s="2" t="s">
        <v>1381</v>
      </c>
      <c r="C232" s="2" t="e">
        <f ca="1">PAProjects5[[#This Row],[LINKING_CODE]]=_xlfn.CONCAT(PAProjects5[[#This Row],[Project Code]]," ",PAProjects5[[#This Row],[Project Name]])</f>
        <v>#NAME?</v>
      </c>
      <c r="D232" s="2" t="e">
        <f>VLOOKUP(PAProjects5[[#This Row],[LINKING_CODE]],MasterTable[[Project Code and Name ]],1,FALSE)</f>
        <v>#N/A</v>
      </c>
      <c r="E232" s="2" t="s">
        <v>520</v>
      </c>
      <c r="F232" s="2" t="s">
        <v>975</v>
      </c>
      <c r="G232" s="2" t="s">
        <v>114</v>
      </c>
      <c r="H232" s="2" t="s">
        <v>1113</v>
      </c>
      <c r="I232" s="2" t="s">
        <v>1145</v>
      </c>
      <c r="J232" s="2" t="s">
        <v>732</v>
      </c>
      <c r="K232" s="2" t="str">
        <f t="shared" si="21"/>
        <v>Retooling</v>
      </c>
      <c r="L232" s="23">
        <v>44013</v>
      </c>
      <c r="M232" s="23">
        <v>44742</v>
      </c>
      <c r="N232" s="24">
        <v>5.65</v>
      </c>
      <c r="O232" s="20"/>
      <c r="P232" s="20">
        <f t="shared" si="22"/>
        <v>5.65</v>
      </c>
      <c r="Q232" s="20">
        <f>SUMIFS(MasterTable[Estimate of Arrears at end of the current FY 2020/21 (value)],MasterTable[[Project Code and Name ]],PAProjects5[[#This Row],[LINKING_CODE]],MasterTable[Funding Source],"GoU Funded")/10^9</f>
        <v>0</v>
      </c>
      <c r="R232" s="29">
        <f t="shared" si="28"/>
        <v>1.1300000000000001</v>
      </c>
      <c r="S232" s="2"/>
      <c r="T232" s="29">
        <f>PAProjects[[#This Row],[GOU 21/22]]+PAProjects[[#This Row],[DONOR 21/22]]</f>
        <v>1.1300000000000001</v>
      </c>
      <c r="U232" s="29">
        <f t="shared" si="29"/>
        <v>1.1300000000000001</v>
      </c>
      <c r="V232" s="2"/>
      <c r="W232" s="29">
        <f>PAProjects[[#This Row],[GOU 22/23]]+PAProjects[[#This Row],[DONOR 22/23]]</f>
        <v>1.1300000000000001</v>
      </c>
      <c r="X232" s="29">
        <f t="shared" si="30"/>
        <v>1.1300000000000001</v>
      </c>
      <c r="Y232" s="2"/>
      <c r="Z232" s="29">
        <f t="shared" si="27"/>
        <v>1.1300000000000001</v>
      </c>
      <c r="AA232" s="29">
        <f t="shared" si="31"/>
        <v>1.1300000000000001</v>
      </c>
      <c r="AB232" s="2"/>
      <c r="AC232" s="29">
        <f>PAProjects[[#This Row],[GOU 24/25]]+PAProjects[[#This Row],[DONOR 24/25]]</f>
        <v>1.1300000000000001</v>
      </c>
    </row>
    <row r="233" spans="1:29" ht="15" hidden="1" customHeight="1" x14ac:dyDescent="0.25">
      <c r="A233" s="21" t="s">
        <v>189</v>
      </c>
      <c r="B233" s="2" t="s">
        <v>1382</v>
      </c>
      <c r="C233" s="2" t="e">
        <f ca="1">PAProjects5[[#This Row],[LINKING_CODE]]=_xlfn.CONCAT(PAProjects5[[#This Row],[Project Code]]," ",PAProjects5[[#This Row],[Project Name]])</f>
        <v>#NAME?</v>
      </c>
      <c r="D233" s="2" t="e">
        <f>VLOOKUP(PAProjects5[[#This Row],[LINKING_CODE]],MasterTable[[Project Code and Name ]],1,FALSE)</f>
        <v>#N/A</v>
      </c>
      <c r="E233" s="2" t="s">
        <v>520</v>
      </c>
      <c r="F233" s="2" t="s">
        <v>975</v>
      </c>
      <c r="G233" s="2" t="s">
        <v>115</v>
      </c>
      <c r="H233" s="2" t="s">
        <v>1113</v>
      </c>
      <c r="I233" s="2" t="s">
        <v>1146</v>
      </c>
      <c r="J233" s="2" t="s">
        <v>730</v>
      </c>
      <c r="K233" s="2" t="str">
        <f t="shared" si="21"/>
        <v>Retooling</v>
      </c>
      <c r="L233" s="23">
        <v>44013</v>
      </c>
      <c r="M233" s="23">
        <v>44742</v>
      </c>
      <c r="N233" s="24">
        <v>47</v>
      </c>
      <c r="O233" s="20"/>
      <c r="P233" s="20">
        <f t="shared" si="22"/>
        <v>47</v>
      </c>
      <c r="Q233" s="20">
        <f>SUMIFS(MasterTable[Estimate of Arrears at end of the current FY 2020/21 (value)],MasterTable[[Project Code and Name ]],PAProjects5[[#This Row],[LINKING_CODE]],MasterTable[Funding Source],"GoU Funded")/10^9</f>
        <v>0</v>
      </c>
      <c r="R233" s="29">
        <f t="shared" si="28"/>
        <v>9.4</v>
      </c>
      <c r="S233" s="2"/>
      <c r="T233" s="29">
        <f>PAProjects[[#This Row],[GOU 21/22]]+PAProjects[[#This Row],[DONOR 21/22]]</f>
        <v>9.4</v>
      </c>
      <c r="U233" s="29">
        <f t="shared" si="29"/>
        <v>9.4</v>
      </c>
      <c r="V233" s="2"/>
      <c r="W233" s="29">
        <f>PAProjects[[#This Row],[GOU 22/23]]+PAProjects[[#This Row],[DONOR 22/23]]</f>
        <v>9.4</v>
      </c>
      <c r="X233" s="29">
        <f t="shared" si="30"/>
        <v>9.4</v>
      </c>
      <c r="Y233" s="2"/>
      <c r="Z233" s="29">
        <f t="shared" si="27"/>
        <v>9.4</v>
      </c>
      <c r="AA233" s="29">
        <f t="shared" si="31"/>
        <v>9.4</v>
      </c>
      <c r="AB233" s="2"/>
      <c r="AC233" s="29">
        <f>PAProjects[[#This Row],[GOU 24/25]]+PAProjects[[#This Row],[DONOR 24/25]]</f>
        <v>9.4</v>
      </c>
    </row>
    <row r="234" spans="1:29" ht="15" hidden="1" customHeight="1" x14ac:dyDescent="0.25">
      <c r="A234" s="21" t="s">
        <v>190</v>
      </c>
      <c r="B234" s="2" t="s">
        <v>1383</v>
      </c>
      <c r="C234" s="2" t="e">
        <f ca="1">PAProjects5[[#This Row],[LINKING_CODE]]=_xlfn.CONCAT(PAProjects5[[#This Row],[Project Code]]," ",PAProjects5[[#This Row],[Project Name]])</f>
        <v>#NAME?</v>
      </c>
      <c r="D234" s="2" t="e">
        <f>VLOOKUP(PAProjects5[[#This Row],[LINKING_CODE]],MasterTable[[Project Code and Name ]],1,FALSE)</f>
        <v>#N/A</v>
      </c>
      <c r="E234" s="2" t="s">
        <v>520</v>
      </c>
      <c r="F234" s="2" t="s">
        <v>975</v>
      </c>
      <c r="G234" s="2" t="s">
        <v>116</v>
      </c>
      <c r="H234" s="2" t="s">
        <v>1113</v>
      </c>
      <c r="I234" s="2" t="s">
        <v>1147</v>
      </c>
      <c r="J234" s="2" t="s">
        <v>729</v>
      </c>
      <c r="K234" s="2" t="str">
        <f t="shared" si="21"/>
        <v>Retooling</v>
      </c>
      <c r="L234" s="23">
        <v>44013</v>
      </c>
      <c r="M234" s="23">
        <v>44742</v>
      </c>
      <c r="N234" s="24">
        <v>10.9</v>
      </c>
      <c r="O234" s="20"/>
      <c r="P234" s="20">
        <f t="shared" si="22"/>
        <v>10.9</v>
      </c>
      <c r="Q234" s="20">
        <f>SUMIFS(MasterTable[Estimate of Arrears at end of the current FY 2020/21 (value)],MasterTable[[Project Code and Name ]],PAProjects5[[#This Row],[LINKING_CODE]],MasterTable[Funding Source],"GoU Funded")/10^9</f>
        <v>0</v>
      </c>
      <c r="R234" s="29">
        <f t="shared" si="28"/>
        <v>2.1800000000000002</v>
      </c>
      <c r="S234" s="2"/>
      <c r="T234" s="29">
        <f>PAProjects[[#This Row],[GOU 21/22]]+PAProjects[[#This Row],[DONOR 21/22]]</f>
        <v>2.1800000000000002</v>
      </c>
      <c r="U234" s="29">
        <f t="shared" si="29"/>
        <v>2.1800000000000002</v>
      </c>
      <c r="V234" s="2"/>
      <c r="W234" s="29">
        <f>PAProjects[[#This Row],[GOU 22/23]]+PAProjects[[#This Row],[DONOR 22/23]]</f>
        <v>2.1800000000000002</v>
      </c>
      <c r="X234" s="29">
        <f t="shared" si="30"/>
        <v>2.1800000000000002</v>
      </c>
      <c r="Y234" s="2"/>
      <c r="Z234" s="29">
        <f t="shared" si="27"/>
        <v>2.1800000000000002</v>
      </c>
      <c r="AA234" s="29">
        <f t="shared" si="31"/>
        <v>2.1800000000000002</v>
      </c>
      <c r="AB234" s="2"/>
      <c r="AC234" s="29">
        <f>PAProjects[[#This Row],[GOU 24/25]]+PAProjects[[#This Row],[DONOR 24/25]]</f>
        <v>2.1800000000000002</v>
      </c>
    </row>
    <row r="235" spans="1:29" ht="15" hidden="1" customHeight="1" x14ac:dyDescent="0.25">
      <c r="A235" s="21" t="s">
        <v>192</v>
      </c>
      <c r="B235" s="2" t="s">
        <v>1384</v>
      </c>
      <c r="C235" s="2" t="e">
        <f ca="1">PAProjects5[[#This Row],[LINKING_CODE]]=_xlfn.CONCAT(PAProjects5[[#This Row],[Project Code]]," ",PAProjects5[[#This Row],[Project Name]])</f>
        <v>#NAME?</v>
      </c>
      <c r="D235" s="2" t="e">
        <f>VLOOKUP(PAProjects5[[#This Row],[LINKING_CODE]],MasterTable[[Project Code and Name ]],1,FALSE)</f>
        <v>#N/A</v>
      </c>
      <c r="E235" s="2" t="s">
        <v>520</v>
      </c>
      <c r="F235" s="2" t="s">
        <v>975</v>
      </c>
      <c r="G235" s="2" t="s">
        <v>134</v>
      </c>
      <c r="H235" s="2" t="s">
        <v>1113</v>
      </c>
      <c r="I235" s="2" t="s">
        <v>1148</v>
      </c>
      <c r="J235" s="2" t="s">
        <v>749</v>
      </c>
      <c r="K235" s="2" t="str">
        <f t="shared" si="21"/>
        <v>Retooling</v>
      </c>
      <c r="L235" s="23">
        <v>44013</v>
      </c>
      <c r="M235" s="23">
        <v>44742</v>
      </c>
      <c r="N235" s="24">
        <v>14.8</v>
      </c>
      <c r="O235" s="20"/>
      <c r="P235" s="20">
        <f t="shared" si="22"/>
        <v>14.8</v>
      </c>
      <c r="Q235" s="20">
        <f>SUMIFS(MasterTable[Estimate of Arrears at end of the current FY 2020/21 (value)],MasterTable[[Project Code and Name ]],PAProjects5[[#This Row],[LINKING_CODE]],MasterTable[Funding Source],"GoU Funded")/10^9</f>
        <v>0</v>
      </c>
      <c r="R235" s="29">
        <f t="shared" si="28"/>
        <v>2.96</v>
      </c>
      <c r="S235" s="2"/>
      <c r="T235" s="29">
        <f>PAProjects[[#This Row],[GOU 21/22]]+PAProjects[[#This Row],[DONOR 21/22]]</f>
        <v>2.96</v>
      </c>
      <c r="U235" s="29">
        <f t="shared" si="29"/>
        <v>2.96</v>
      </c>
      <c r="V235" s="2"/>
      <c r="W235" s="29">
        <f>PAProjects[[#This Row],[GOU 22/23]]+PAProjects[[#This Row],[DONOR 22/23]]</f>
        <v>2.96</v>
      </c>
      <c r="X235" s="29">
        <f t="shared" si="30"/>
        <v>2.96</v>
      </c>
      <c r="Y235" s="2"/>
      <c r="Z235" s="29">
        <f t="shared" si="27"/>
        <v>2.96</v>
      </c>
      <c r="AA235" s="29">
        <f t="shared" si="31"/>
        <v>2.96</v>
      </c>
      <c r="AB235" s="2"/>
      <c r="AC235" s="29">
        <f>PAProjects[[#This Row],[GOU 24/25]]+PAProjects[[#This Row],[DONOR 24/25]]</f>
        <v>2.96</v>
      </c>
    </row>
    <row r="236" spans="1:29" ht="15" hidden="1" customHeight="1" x14ac:dyDescent="0.25">
      <c r="A236" s="21" t="s">
        <v>193</v>
      </c>
      <c r="B236" s="2" t="s">
        <v>1385</v>
      </c>
      <c r="C236" s="2" t="e">
        <f ca="1">PAProjects5[[#This Row],[LINKING_CODE]]=_xlfn.CONCAT(PAProjects5[[#This Row],[Project Code]]," ",PAProjects5[[#This Row],[Project Name]])</f>
        <v>#NAME?</v>
      </c>
      <c r="D236" s="2" t="e">
        <f>VLOOKUP(PAProjects5[[#This Row],[LINKING_CODE]],MasterTable[[Project Code and Name ]],1,FALSE)</f>
        <v>#N/A</v>
      </c>
      <c r="E236" s="2" t="s">
        <v>520</v>
      </c>
      <c r="F236" s="2" t="s">
        <v>975</v>
      </c>
      <c r="G236" s="2" t="s">
        <v>151</v>
      </c>
      <c r="H236" s="2" t="s">
        <v>1113</v>
      </c>
      <c r="I236" s="2" t="s">
        <v>1149</v>
      </c>
      <c r="J236" s="2" t="s">
        <v>752</v>
      </c>
      <c r="K236" s="2" t="str">
        <f t="shared" si="21"/>
        <v>Retooling</v>
      </c>
      <c r="L236" s="23">
        <v>44013</v>
      </c>
      <c r="M236" s="23">
        <v>44742</v>
      </c>
      <c r="N236" s="24">
        <v>30.8</v>
      </c>
      <c r="O236" s="20"/>
      <c r="P236" s="20">
        <f t="shared" si="22"/>
        <v>30.8</v>
      </c>
      <c r="Q236" s="20">
        <f>SUMIFS(MasterTable[Estimate of Arrears at end of the current FY 2020/21 (value)],MasterTable[[Project Code and Name ]],PAProjects5[[#This Row],[LINKING_CODE]],MasterTable[Funding Source],"GoU Funded")/10^9</f>
        <v>0</v>
      </c>
      <c r="R236" s="29">
        <f t="shared" si="28"/>
        <v>6.16</v>
      </c>
      <c r="S236" s="2"/>
      <c r="T236" s="29">
        <f>PAProjects[[#This Row],[GOU 21/22]]+PAProjects[[#This Row],[DONOR 21/22]]</f>
        <v>6.16</v>
      </c>
      <c r="U236" s="29">
        <f t="shared" si="29"/>
        <v>6.16</v>
      </c>
      <c r="V236" s="2"/>
      <c r="W236" s="29">
        <f>PAProjects[[#This Row],[GOU 22/23]]+PAProjects[[#This Row],[DONOR 22/23]]</f>
        <v>6.16</v>
      </c>
      <c r="X236" s="29">
        <f t="shared" si="30"/>
        <v>6.16</v>
      </c>
      <c r="Y236" s="2"/>
      <c r="Z236" s="29">
        <f t="shared" si="27"/>
        <v>6.16</v>
      </c>
      <c r="AA236" s="29">
        <f t="shared" si="31"/>
        <v>6.16</v>
      </c>
      <c r="AB236" s="2"/>
      <c r="AC236" s="29">
        <f>PAProjects[[#This Row],[GOU 24/25]]+PAProjects[[#This Row],[DONOR 24/25]]</f>
        <v>6.16</v>
      </c>
    </row>
    <row r="237" spans="1:29" ht="15" hidden="1" customHeight="1" x14ac:dyDescent="0.25">
      <c r="A237" s="21" t="s">
        <v>194</v>
      </c>
      <c r="B237" s="2" t="s">
        <v>1386</v>
      </c>
      <c r="C237" s="2" t="e">
        <f ca="1">PAProjects5[[#This Row],[LINKING_CODE]]=_xlfn.CONCAT(PAProjects5[[#This Row],[Project Code]]," ",PAProjects5[[#This Row],[Project Name]])</f>
        <v>#NAME?</v>
      </c>
      <c r="D237" s="2" t="e">
        <f>VLOOKUP(PAProjects5[[#This Row],[LINKING_CODE]],MasterTable[[Project Code and Name ]],1,FALSE)</f>
        <v>#N/A</v>
      </c>
      <c r="E237" s="2" t="s">
        <v>520</v>
      </c>
      <c r="F237" s="2" t="s">
        <v>975</v>
      </c>
      <c r="G237" s="2" t="s">
        <v>161</v>
      </c>
      <c r="H237" s="2" t="s">
        <v>1113</v>
      </c>
      <c r="I237" s="2" t="s">
        <v>1150</v>
      </c>
      <c r="J237" s="2" t="s">
        <v>751</v>
      </c>
      <c r="K237" s="2" t="str">
        <f t="shared" si="21"/>
        <v>Retooling</v>
      </c>
      <c r="L237" s="23">
        <v>44013</v>
      </c>
      <c r="M237" s="23">
        <v>44742</v>
      </c>
      <c r="N237" s="24">
        <v>24.8</v>
      </c>
      <c r="O237" s="20"/>
      <c r="P237" s="20">
        <f t="shared" si="22"/>
        <v>24.8</v>
      </c>
      <c r="Q237" s="20">
        <f>SUMIFS(MasterTable[Estimate of Arrears at end of the current FY 2020/21 (value)],MasterTable[[Project Code and Name ]],PAProjects5[[#This Row],[LINKING_CODE]],MasterTable[Funding Source],"GoU Funded")/10^9</f>
        <v>0</v>
      </c>
      <c r="R237" s="29">
        <f t="shared" si="28"/>
        <v>4.96</v>
      </c>
      <c r="S237" s="2"/>
      <c r="T237" s="29">
        <f>PAProjects[[#This Row],[GOU 21/22]]+PAProjects[[#This Row],[DONOR 21/22]]</f>
        <v>4.96</v>
      </c>
      <c r="U237" s="29">
        <f t="shared" si="29"/>
        <v>4.96</v>
      </c>
      <c r="V237" s="2"/>
      <c r="W237" s="29">
        <f>PAProjects[[#This Row],[GOU 22/23]]+PAProjects[[#This Row],[DONOR 22/23]]</f>
        <v>4.96</v>
      </c>
      <c r="X237" s="29">
        <f t="shared" si="30"/>
        <v>4.96</v>
      </c>
      <c r="Y237" s="2"/>
      <c r="Z237" s="29">
        <f t="shared" si="27"/>
        <v>4.96</v>
      </c>
      <c r="AA237" s="29">
        <f t="shared" si="31"/>
        <v>4.96</v>
      </c>
      <c r="AB237" s="2"/>
      <c r="AC237" s="29">
        <f>PAProjects[[#This Row],[GOU 24/25]]+PAProjects[[#This Row],[DONOR 24/25]]</f>
        <v>4.96</v>
      </c>
    </row>
    <row r="238" spans="1:29" ht="15" hidden="1" customHeight="1" x14ac:dyDescent="0.25">
      <c r="A238" s="21" t="s">
        <v>195</v>
      </c>
      <c r="B238" s="2" t="s">
        <v>1387</v>
      </c>
      <c r="C238" s="2" t="e">
        <f ca="1">PAProjects5[[#This Row],[LINKING_CODE]]=_xlfn.CONCAT(PAProjects5[[#This Row],[Project Code]]," ",PAProjects5[[#This Row],[Project Name]])</f>
        <v>#NAME?</v>
      </c>
      <c r="D238" s="2" t="e">
        <f>VLOOKUP(PAProjects5[[#This Row],[LINKING_CODE]],MasterTable[[Project Code and Name ]],1,FALSE)</f>
        <v>#N/A</v>
      </c>
      <c r="E238" s="2" t="s">
        <v>520</v>
      </c>
      <c r="F238" s="2" t="s">
        <v>975</v>
      </c>
      <c r="G238" s="2" t="s">
        <v>162</v>
      </c>
      <c r="H238" s="2" t="s">
        <v>1113</v>
      </c>
      <c r="I238" s="2" t="s">
        <v>1151</v>
      </c>
      <c r="J238" s="2" t="s">
        <v>734</v>
      </c>
      <c r="K238" s="2" t="str">
        <f t="shared" si="21"/>
        <v>Retooling</v>
      </c>
      <c r="L238" s="23">
        <v>44013</v>
      </c>
      <c r="M238" s="23">
        <v>44742</v>
      </c>
      <c r="N238" s="24">
        <v>5.53</v>
      </c>
      <c r="O238" s="20"/>
      <c r="P238" s="20">
        <f t="shared" si="22"/>
        <v>5.53</v>
      </c>
      <c r="Q238" s="20">
        <f>SUMIFS(MasterTable[Estimate of Arrears at end of the current FY 2020/21 (value)],MasterTable[[Project Code and Name ]],PAProjects5[[#This Row],[LINKING_CODE]],MasterTable[Funding Source],"GoU Funded")/10^9</f>
        <v>0</v>
      </c>
      <c r="R238" s="29">
        <f t="shared" si="28"/>
        <v>1.1060000000000001</v>
      </c>
      <c r="S238" s="2"/>
      <c r="T238" s="29">
        <f>PAProjects[[#This Row],[GOU 21/22]]+PAProjects[[#This Row],[DONOR 21/22]]</f>
        <v>1.1060000000000001</v>
      </c>
      <c r="U238" s="29">
        <f t="shared" si="29"/>
        <v>1.1060000000000001</v>
      </c>
      <c r="V238" s="2"/>
      <c r="W238" s="29">
        <f>PAProjects[[#This Row],[GOU 22/23]]+PAProjects[[#This Row],[DONOR 22/23]]</f>
        <v>1.1060000000000001</v>
      </c>
      <c r="X238" s="29">
        <f t="shared" si="30"/>
        <v>1.1060000000000001</v>
      </c>
      <c r="Y238" s="2"/>
      <c r="Z238" s="29">
        <f t="shared" si="27"/>
        <v>1.1060000000000001</v>
      </c>
      <c r="AA238" s="29">
        <f t="shared" si="31"/>
        <v>1.1060000000000001</v>
      </c>
      <c r="AB238" s="2"/>
      <c r="AC238" s="29">
        <f>PAProjects[[#This Row],[GOU 24/25]]+PAProjects[[#This Row],[DONOR 24/25]]</f>
        <v>1.1060000000000001</v>
      </c>
    </row>
    <row r="239" spans="1:29" ht="15" hidden="1" customHeight="1" x14ac:dyDescent="0.25">
      <c r="A239" s="21" t="s">
        <v>196</v>
      </c>
      <c r="B239" s="2" t="s">
        <v>1388</v>
      </c>
      <c r="C239" s="2" t="e">
        <f ca="1">PAProjects5[[#This Row],[LINKING_CODE]]=_xlfn.CONCAT(PAProjects5[[#This Row],[Project Code]]," ",PAProjects5[[#This Row],[Project Name]])</f>
        <v>#NAME?</v>
      </c>
      <c r="D239" s="2" t="e">
        <f>VLOOKUP(PAProjects5[[#This Row],[LINKING_CODE]],MasterTable[[Project Code and Name ]],1,FALSE)</f>
        <v>#N/A</v>
      </c>
      <c r="E239" s="2" t="s">
        <v>520</v>
      </c>
      <c r="F239" s="2" t="s">
        <v>975</v>
      </c>
      <c r="G239" s="2" t="s">
        <v>163</v>
      </c>
      <c r="H239" s="2" t="s">
        <v>1113</v>
      </c>
      <c r="I239" s="2" t="s">
        <v>1152</v>
      </c>
      <c r="J239" s="2" t="s">
        <v>1153</v>
      </c>
      <c r="K239" s="2" t="str">
        <f t="shared" si="21"/>
        <v>Retooling</v>
      </c>
      <c r="L239" s="23">
        <v>44013</v>
      </c>
      <c r="M239" s="23">
        <v>44742</v>
      </c>
      <c r="N239" s="24">
        <v>4.4000000000000004</v>
      </c>
      <c r="O239" s="20"/>
      <c r="P239" s="20">
        <f t="shared" si="22"/>
        <v>4.4000000000000004</v>
      </c>
      <c r="Q239" s="20">
        <f>SUMIFS(MasterTable[Estimate of Arrears at end of the current FY 2020/21 (value)],MasterTable[[Project Code and Name ]],PAProjects5[[#This Row],[LINKING_CODE]],MasterTable[Funding Source],"GoU Funded")/10^9</f>
        <v>0</v>
      </c>
      <c r="R239" s="29">
        <f t="shared" si="28"/>
        <v>0.88000000000000012</v>
      </c>
      <c r="S239" s="2"/>
      <c r="T239" s="29">
        <f>PAProjects[[#This Row],[GOU 21/22]]+PAProjects[[#This Row],[DONOR 21/22]]</f>
        <v>0.88000000000000012</v>
      </c>
      <c r="U239" s="29">
        <f t="shared" si="29"/>
        <v>0.88000000000000012</v>
      </c>
      <c r="V239" s="2"/>
      <c r="W239" s="29">
        <f>PAProjects[[#This Row],[GOU 22/23]]+PAProjects[[#This Row],[DONOR 22/23]]</f>
        <v>0.88000000000000012</v>
      </c>
      <c r="X239" s="29">
        <f t="shared" si="30"/>
        <v>0.88000000000000012</v>
      </c>
      <c r="Y239" s="2"/>
      <c r="Z239" s="29">
        <f t="shared" si="27"/>
        <v>0.88000000000000012</v>
      </c>
      <c r="AA239" s="29">
        <f t="shared" si="31"/>
        <v>0.88000000000000012</v>
      </c>
      <c r="AB239" s="2"/>
      <c r="AC239" s="29">
        <f>PAProjects[[#This Row],[GOU 24/25]]+PAProjects[[#This Row],[DONOR 24/25]]</f>
        <v>0.88000000000000012</v>
      </c>
    </row>
    <row r="240" spans="1:29" ht="15" hidden="1" customHeight="1" x14ac:dyDescent="0.25">
      <c r="A240" s="21" t="s">
        <v>197</v>
      </c>
      <c r="B240" s="2" t="s">
        <v>1389</v>
      </c>
      <c r="C240" s="2" t="e">
        <f ca="1">PAProjects5[[#This Row],[LINKING_CODE]]=_xlfn.CONCAT(PAProjects5[[#This Row],[Project Code]]," ",PAProjects5[[#This Row],[Project Name]])</f>
        <v>#NAME?</v>
      </c>
      <c r="D240" s="2" t="e">
        <f>VLOOKUP(PAProjects5[[#This Row],[LINKING_CODE]],MasterTable[[Project Code and Name ]],1,FALSE)</f>
        <v>#N/A</v>
      </c>
      <c r="E240" s="2" t="s">
        <v>520</v>
      </c>
      <c r="F240" s="2" t="s">
        <v>975</v>
      </c>
      <c r="G240" s="2" t="s">
        <v>164</v>
      </c>
      <c r="H240" s="2" t="s">
        <v>1113</v>
      </c>
      <c r="I240" s="2" t="s">
        <v>1154</v>
      </c>
      <c r="J240" s="2" t="s">
        <v>738</v>
      </c>
      <c r="K240" s="2" t="str">
        <f t="shared" si="21"/>
        <v>Retooling</v>
      </c>
      <c r="L240" s="23">
        <v>44013</v>
      </c>
      <c r="M240" s="23">
        <v>44742</v>
      </c>
      <c r="N240" s="24">
        <v>1.8</v>
      </c>
      <c r="O240" s="20"/>
      <c r="P240" s="20">
        <f t="shared" si="22"/>
        <v>1.8</v>
      </c>
      <c r="Q240" s="20">
        <f>SUMIFS(MasterTable[Estimate of Arrears at end of the current FY 2020/21 (value)],MasterTable[[Project Code and Name ]],PAProjects5[[#This Row],[LINKING_CODE]],MasterTable[Funding Source],"GoU Funded")/10^9</f>
        <v>0</v>
      </c>
      <c r="R240" s="29">
        <f t="shared" si="28"/>
        <v>0.36</v>
      </c>
      <c r="S240" s="2"/>
      <c r="T240" s="29">
        <f>PAProjects[[#This Row],[GOU 21/22]]+PAProjects[[#This Row],[DONOR 21/22]]</f>
        <v>0.36</v>
      </c>
      <c r="U240" s="29">
        <f t="shared" si="29"/>
        <v>0.36</v>
      </c>
      <c r="V240" s="2"/>
      <c r="W240" s="29">
        <f>PAProjects[[#This Row],[GOU 22/23]]+PAProjects[[#This Row],[DONOR 22/23]]</f>
        <v>0.36</v>
      </c>
      <c r="X240" s="29">
        <f t="shared" si="30"/>
        <v>0.36</v>
      </c>
      <c r="Y240" s="2"/>
      <c r="Z240" s="29">
        <f t="shared" si="27"/>
        <v>0.36</v>
      </c>
      <c r="AA240" s="29">
        <f t="shared" si="31"/>
        <v>0.36</v>
      </c>
      <c r="AB240" s="2"/>
      <c r="AC240" s="29">
        <f>PAProjects[[#This Row],[GOU 24/25]]+PAProjects[[#This Row],[DONOR 24/25]]</f>
        <v>0.36</v>
      </c>
    </row>
    <row r="241" spans="1:29" ht="15" hidden="1" customHeight="1" x14ac:dyDescent="0.25">
      <c r="A241" s="21" t="s">
        <v>198</v>
      </c>
      <c r="B241" s="2" t="s">
        <v>1390</v>
      </c>
      <c r="C241" s="2" t="e">
        <f ca="1">PAProjects5[[#This Row],[LINKING_CODE]]=_xlfn.CONCAT(PAProjects5[[#This Row],[Project Code]]," ",PAProjects5[[#This Row],[Project Name]])</f>
        <v>#NAME?</v>
      </c>
      <c r="D241" s="2" t="e">
        <f>VLOOKUP(PAProjects5[[#This Row],[LINKING_CODE]],MasterTable[[Project Code and Name ]],1,FALSE)</f>
        <v>#N/A</v>
      </c>
      <c r="E241" s="2" t="s">
        <v>520</v>
      </c>
      <c r="F241" s="2" t="s">
        <v>975</v>
      </c>
      <c r="G241" s="2" t="s">
        <v>165</v>
      </c>
      <c r="H241" s="2" t="s">
        <v>1113</v>
      </c>
      <c r="I241" s="2" t="s">
        <v>1155</v>
      </c>
      <c r="J241" s="2" t="s">
        <v>745</v>
      </c>
      <c r="K241" s="2" t="str">
        <f t="shared" si="21"/>
        <v>Retooling</v>
      </c>
      <c r="L241" s="23">
        <v>44013</v>
      </c>
      <c r="M241" s="23">
        <v>44742</v>
      </c>
      <c r="N241" s="24">
        <v>4</v>
      </c>
      <c r="O241" s="20"/>
      <c r="P241" s="20">
        <f t="shared" si="22"/>
        <v>4</v>
      </c>
      <c r="Q241" s="20">
        <f>SUMIFS(MasterTable[Estimate of Arrears at end of the current FY 2020/21 (value)],MasterTable[[Project Code and Name ]],PAProjects5[[#This Row],[LINKING_CODE]],MasterTable[Funding Source],"GoU Funded")/10^9</f>
        <v>0</v>
      </c>
      <c r="R241" s="29">
        <f t="shared" si="28"/>
        <v>0.8</v>
      </c>
      <c r="S241" s="2"/>
      <c r="T241" s="29">
        <f>PAProjects[[#This Row],[GOU 21/22]]+PAProjects[[#This Row],[DONOR 21/22]]</f>
        <v>0.8</v>
      </c>
      <c r="U241" s="29">
        <f t="shared" si="29"/>
        <v>0.8</v>
      </c>
      <c r="V241" s="2"/>
      <c r="W241" s="29">
        <f>PAProjects[[#This Row],[GOU 22/23]]+PAProjects[[#This Row],[DONOR 22/23]]</f>
        <v>0.8</v>
      </c>
      <c r="X241" s="29">
        <f t="shared" si="30"/>
        <v>0.8</v>
      </c>
      <c r="Y241" s="2"/>
      <c r="Z241" s="29">
        <f t="shared" si="27"/>
        <v>0.8</v>
      </c>
      <c r="AA241" s="29">
        <f t="shared" si="31"/>
        <v>0.8</v>
      </c>
      <c r="AB241" s="2"/>
      <c r="AC241" s="29">
        <f>PAProjects[[#This Row],[GOU 24/25]]+PAProjects[[#This Row],[DONOR 24/25]]</f>
        <v>0.8</v>
      </c>
    </row>
    <row r="242" spans="1:29" ht="15" hidden="1" customHeight="1" x14ac:dyDescent="0.25">
      <c r="A242" s="21" t="s">
        <v>199</v>
      </c>
      <c r="B242" s="2" t="s">
        <v>1391</v>
      </c>
      <c r="C242" s="2" t="e">
        <f ca="1">PAProjects5[[#This Row],[LINKING_CODE]]=_xlfn.CONCAT(PAProjects5[[#This Row],[Project Code]]," ",PAProjects5[[#This Row],[Project Name]])</f>
        <v>#NAME?</v>
      </c>
      <c r="D242" s="2" t="e">
        <f>VLOOKUP(PAProjects5[[#This Row],[LINKING_CODE]],MasterTable[[Project Code and Name ]],1,FALSE)</f>
        <v>#N/A</v>
      </c>
      <c r="E242" s="2" t="s">
        <v>520</v>
      </c>
      <c r="F242" s="2" t="s">
        <v>975</v>
      </c>
      <c r="G242" s="2" t="s">
        <v>166</v>
      </c>
      <c r="H242" s="2" t="s">
        <v>1113</v>
      </c>
      <c r="I242" s="2" t="s">
        <v>1156</v>
      </c>
      <c r="J242" s="2" t="s">
        <v>744</v>
      </c>
      <c r="K242" s="2" t="str">
        <f t="shared" si="21"/>
        <v>Retooling</v>
      </c>
      <c r="L242" s="23">
        <v>44013</v>
      </c>
      <c r="M242" s="23">
        <v>44742</v>
      </c>
      <c r="N242" s="24">
        <v>4.8</v>
      </c>
      <c r="O242" s="20"/>
      <c r="P242" s="20">
        <f t="shared" si="22"/>
        <v>4.8</v>
      </c>
      <c r="Q242" s="20">
        <f>SUMIFS(MasterTable[Estimate of Arrears at end of the current FY 2020/21 (value)],MasterTable[[Project Code and Name ]],PAProjects5[[#This Row],[LINKING_CODE]],MasterTable[Funding Source],"GoU Funded")/10^9</f>
        <v>0</v>
      </c>
      <c r="R242" s="29">
        <f t="shared" si="28"/>
        <v>0.96</v>
      </c>
      <c r="S242" s="2"/>
      <c r="T242" s="29">
        <f>PAProjects[[#This Row],[GOU 21/22]]+PAProjects[[#This Row],[DONOR 21/22]]</f>
        <v>0.96</v>
      </c>
      <c r="U242" s="29">
        <f t="shared" si="29"/>
        <v>0.96</v>
      </c>
      <c r="V242" s="2"/>
      <c r="W242" s="29">
        <f>PAProjects[[#This Row],[GOU 22/23]]+PAProjects[[#This Row],[DONOR 22/23]]</f>
        <v>0.96</v>
      </c>
      <c r="X242" s="29">
        <f t="shared" si="30"/>
        <v>0.96</v>
      </c>
      <c r="Y242" s="2"/>
      <c r="Z242" s="29">
        <f t="shared" si="27"/>
        <v>0.96</v>
      </c>
      <c r="AA242" s="29">
        <f t="shared" si="31"/>
        <v>0.96</v>
      </c>
      <c r="AB242" s="2"/>
      <c r="AC242" s="29">
        <f>PAProjects[[#This Row],[GOU 24/25]]+PAProjects[[#This Row],[DONOR 24/25]]</f>
        <v>0.96</v>
      </c>
    </row>
    <row r="243" spans="1:29" ht="15" hidden="1" customHeight="1" x14ac:dyDescent="0.25">
      <c r="A243" s="21" t="s">
        <v>200</v>
      </c>
      <c r="B243" s="2" t="s">
        <v>1392</v>
      </c>
      <c r="C243" s="2" t="e">
        <f ca="1">PAProjects5[[#This Row],[LINKING_CODE]]=_xlfn.CONCAT(PAProjects5[[#This Row],[Project Code]]," ",PAProjects5[[#This Row],[Project Name]])</f>
        <v>#NAME?</v>
      </c>
      <c r="D243" s="2" t="e">
        <f>VLOOKUP(PAProjects5[[#This Row],[LINKING_CODE]],MasterTable[[Project Code and Name ]],1,FALSE)</f>
        <v>#N/A</v>
      </c>
      <c r="E243" s="2" t="s">
        <v>520</v>
      </c>
      <c r="F243" s="2" t="s">
        <v>975</v>
      </c>
      <c r="G243" s="2" t="s">
        <v>167</v>
      </c>
      <c r="H243" s="2" t="s">
        <v>1113</v>
      </c>
      <c r="I243" s="2" t="s">
        <v>1157</v>
      </c>
      <c r="J243" s="2" t="s">
        <v>750</v>
      </c>
      <c r="K243" s="2" t="str">
        <f t="shared" si="21"/>
        <v>Retooling</v>
      </c>
      <c r="L243" s="23">
        <v>44013</v>
      </c>
      <c r="M243" s="23">
        <v>44742</v>
      </c>
      <c r="N243" s="20">
        <v>200</v>
      </c>
      <c r="O243" s="20"/>
      <c r="P243" s="20">
        <f t="shared" si="22"/>
        <v>200</v>
      </c>
      <c r="Q243" s="20">
        <f>SUMIFS(MasterTable[Estimate of Arrears at end of the current FY 2020/21 (value)],MasterTable[[Project Code and Name ]],PAProjects5[[#This Row],[LINKING_CODE]],MasterTable[Funding Source],"GoU Funded")/10^9</f>
        <v>0</v>
      </c>
      <c r="R243" s="29">
        <f t="shared" si="28"/>
        <v>40</v>
      </c>
      <c r="S243" s="2"/>
      <c r="T243" s="29">
        <f>PAProjects[[#This Row],[GOU 21/22]]+PAProjects[[#This Row],[DONOR 21/22]]</f>
        <v>40</v>
      </c>
      <c r="U243" s="29">
        <f t="shared" si="29"/>
        <v>40</v>
      </c>
      <c r="V243" s="2"/>
      <c r="W243" s="29">
        <f>PAProjects[[#This Row],[GOU 22/23]]+PAProjects[[#This Row],[DONOR 22/23]]</f>
        <v>40</v>
      </c>
      <c r="X243" s="29">
        <f t="shared" si="30"/>
        <v>40</v>
      </c>
      <c r="Y243" s="2"/>
      <c r="Z243" s="29">
        <f t="shared" si="27"/>
        <v>40</v>
      </c>
      <c r="AA243" s="29">
        <f t="shared" si="31"/>
        <v>40</v>
      </c>
      <c r="AB243" s="2"/>
      <c r="AC243" s="29">
        <f>PAProjects[[#This Row],[GOU 24/25]]+PAProjects[[#This Row],[DONOR 24/25]]</f>
        <v>40</v>
      </c>
    </row>
    <row r="244" spans="1:29" ht="15" hidden="1" customHeight="1" x14ac:dyDescent="0.25">
      <c r="A244" s="21" t="s">
        <v>201</v>
      </c>
      <c r="B244" s="2" t="s">
        <v>1393</v>
      </c>
      <c r="C244" s="2" t="e">
        <f ca="1">PAProjects5[[#This Row],[LINKING_CODE]]=_xlfn.CONCAT(PAProjects5[[#This Row],[Project Code]]," ",PAProjects5[[#This Row],[Project Name]])</f>
        <v>#NAME?</v>
      </c>
      <c r="D244" s="2" t="e">
        <f>VLOOKUP(PAProjects5[[#This Row],[LINKING_CODE]],MasterTable[[Project Code and Name ]],1,FALSE)</f>
        <v>#N/A</v>
      </c>
      <c r="E244" s="2" t="s">
        <v>520</v>
      </c>
      <c r="F244" s="2" t="s">
        <v>975</v>
      </c>
      <c r="G244" s="2" t="s">
        <v>168</v>
      </c>
      <c r="H244" s="2" t="s">
        <v>1113</v>
      </c>
      <c r="I244" s="2" t="s">
        <v>1158</v>
      </c>
      <c r="J244" s="2" t="s">
        <v>742</v>
      </c>
      <c r="K244" s="2" t="str">
        <f t="shared" si="21"/>
        <v>Retooling</v>
      </c>
      <c r="L244" s="23">
        <v>44013</v>
      </c>
      <c r="M244" s="23">
        <v>44742</v>
      </c>
      <c r="N244" s="20">
        <v>5</v>
      </c>
      <c r="O244" s="20"/>
      <c r="P244" s="20">
        <f t="shared" ref="P244:P307" si="32">SUM(N244:O244)</f>
        <v>5</v>
      </c>
      <c r="Q244" s="20">
        <f>SUMIFS(MasterTable[Estimate of Arrears at end of the current FY 2020/21 (value)],MasterTable[[Project Code and Name ]],PAProjects5[[#This Row],[LINKING_CODE]],MasterTable[Funding Source],"GoU Funded")/10^9</f>
        <v>0</v>
      </c>
      <c r="R244" s="29">
        <f t="shared" si="28"/>
        <v>1</v>
      </c>
      <c r="S244" s="2"/>
      <c r="T244" s="29">
        <f>PAProjects[[#This Row],[GOU 21/22]]+PAProjects[[#This Row],[DONOR 21/22]]</f>
        <v>1</v>
      </c>
      <c r="U244" s="29">
        <f t="shared" si="29"/>
        <v>1</v>
      </c>
      <c r="V244" s="2"/>
      <c r="W244" s="29">
        <f>PAProjects[[#This Row],[GOU 22/23]]+PAProjects[[#This Row],[DONOR 22/23]]</f>
        <v>1</v>
      </c>
      <c r="X244" s="29">
        <f t="shared" si="30"/>
        <v>1</v>
      </c>
      <c r="Y244" s="2"/>
      <c r="Z244" s="29">
        <f t="shared" si="27"/>
        <v>1</v>
      </c>
      <c r="AA244" s="29">
        <f t="shared" si="31"/>
        <v>1</v>
      </c>
      <c r="AB244" s="2"/>
      <c r="AC244" s="29">
        <f>PAProjects[[#This Row],[GOU 24/25]]+PAProjects[[#This Row],[DONOR 24/25]]</f>
        <v>1</v>
      </c>
    </row>
    <row r="245" spans="1:29" ht="15" hidden="1" customHeight="1" x14ac:dyDescent="0.25">
      <c r="A245" s="21" t="s">
        <v>202</v>
      </c>
      <c r="B245" s="2" t="s">
        <v>1394</v>
      </c>
      <c r="C245" s="2" t="e">
        <f ca="1">PAProjects5[[#This Row],[LINKING_CODE]]=_xlfn.CONCAT(PAProjects5[[#This Row],[Project Code]]," ",PAProjects5[[#This Row],[Project Name]])</f>
        <v>#NAME?</v>
      </c>
      <c r="D245" s="2" t="e">
        <f>VLOOKUP(PAProjects5[[#This Row],[LINKING_CODE]],MasterTable[[Project Code and Name ]],1,FALSE)</f>
        <v>#N/A</v>
      </c>
      <c r="E245" s="2" t="s">
        <v>520</v>
      </c>
      <c r="F245" s="2" t="s">
        <v>975</v>
      </c>
      <c r="G245" s="2" t="s">
        <v>169</v>
      </c>
      <c r="H245" s="2" t="s">
        <v>1113</v>
      </c>
      <c r="I245" s="2" t="s">
        <v>1159</v>
      </c>
      <c r="J245" s="2" t="s">
        <v>746</v>
      </c>
      <c r="K245" s="2" t="str">
        <f t="shared" si="21"/>
        <v>Retooling</v>
      </c>
      <c r="L245" s="23">
        <v>44013</v>
      </c>
      <c r="M245" s="23">
        <v>44742</v>
      </c>
      <c r="N245" s="24">
        <v>5</v>
      </c>
      <c r="O245" s="20"/>
      <c r="P245" s="20">
        <f t="shared" si="32"/>
        <v>5</v>
      </c>
      <c r="Q245" s="20">
        <f>SUMIFS(MasterTable[Estimate of Arrears at end of the current FY 2020/21 (value)],MasterTable[[Project Code and Name ]],PAProjects5[[#This Row],[LINKING_CODE]],MasterTable[Funding Source],"GoU Funded")/10^9</f>
        <v>0</v>
      </c>
      <c r="R245" s="29">
        <f t="shared" si="28"/>
        <v>1</v>
      </c>
      <c r="S245" s="2"/>
      <c r="T245" s="29">
        <f>PAProjects[[#This Row],[GOU 21/22]]+PAProjects[[#This Row],[DONOR 21/22]]</f>
        <v>1</v>
      </c>
      <c r="U245" s="29">
        <f t="shared" si="29"/>
        <v>1</v>
      </c>
      <c r="V245" s="2"/>
      <c r="W245" s="29">
        <f>PAProjects[[#This Row],[GOU 22/23]]+PAProjects[[#This Row],[DONOR 22/23]]</f>
        <v>1</v>
      </c>
      <c r="X245" s="29">
        <f t="shared" si="30"/>
        <v>1</v>
      </c>
      <c r="Y245" s="2"/>
      <c r="Z245" s="29">
        <f t="shared" si="27"/>
        <v>1</v>
      </c>
      <c r="AA245" s="29">
        <f t="shared" si="31"/>
        <v>1</v>
      </c>
      <c r="AB245" s="2"/>
      <c r="AC245" s="29">
        <f>PAProjects[[#This Row],[GOU 24/25]]+PAProjects[[#This Row],[DONOR 24/25]]</f>
        <v>1</v>
      </c>
    </row>
    <row r="246" spans="1:29" ht="15" hidden="1" customHeight="1" x14ac:dyDescent="0.25">
      <c r="A246" s="21" t="s">
        <v>203</v>
      </c>
      <c r="B246" s="2" t="s">
        <v>1395</v>
      </c>
      <c r="C246" s="2" t="e">
        <f ca="1">PAProjects5[[#This Row],[LINKING_CODE]]=_xlfn.CONCAT(PAProjects5[[#This Row],[Project Code]]," ",PAProjects5[[#This Row],[Project Name]])</f>
        <v>#NAME?</v>
      </c>
      <c r="D246" s="2" t="e">
        <f>VLOOKUP(PAProjects5[[#This Row],[LINKING_CODE]],MasterTable[[Project Code and Name ]],1,FALSE)</f>
        <v>#N/A</v>
      </c>
      <c r="E246" s="2" t="s">
        <v>520</v>
      </c>
      <c r="F246" s="2" t="s">
        <v>975</v>
      </c>
      <c r="G246" s="2" t="s">
        <v>170</v>
      </c>
      <c r="H246" s="2" t="s">
        <v>1113</v>
      </c>
      <c r="I246" s="2" t="s">
        <v>1160</v>
      </c>
      <c r="J246" s="2" t="s">
        <v>741</v>
      </c>
      <c r="K246" s="2" t="str">
        <f t="shared" si="21"/>
        <v>Retooling</v>
      </c>
      <c r="L246" s="23">
        <v>44013</v>
      </c>
      <c r="M246" s="23">
        <v>44742</v>
      </c>
      <c r="N246" s="24">
        <v>20</v>
      </c>
      <c r="O246" s="20"/>
      <c r="P246" s="20">
        <f t="shared" si="32"/>
        <v>20</v>
      </c>
      <c r="Q246" s="20">
        <f>SUMIFS(MasterTable[Estimate of Arrears at end of the current FY 2020/21 (value)],MasterTable[[Project Code and Name ]],PAProjects5[[#This Row],[LINKING_CODE]],MasterTable[Funding Source],"GoU Funded")/10^9</f>
        <v>0</v>
      </c>
      <c r="R246" s="29">
        <f t="shared" si="28"/>
        <v>4</v>
      </c>
      <c r="S246" s="2"/>
      <c r="T246" s="29">
        <f>PAProjects[[#This Row],[GOU 21/22]]+PAProjects[[#This Row],[DONOR 21/22]]</f>
        <v>4</v>
      </c>
      <c r="U246" s="29">
        <f t="shared" si="29"/>
        <v>4</v>
      </c>
      <c r="V246" s="2"/>
      <c r="W246" s="29">
        <f>PAProjects[[#This Row],[GOU 22/23]]+PAProjects[[#This Row],[DONOR 22/23]]</f>
        <v>4</v>
      </c>
      <c r="X246" s="29">
        <f t="shared" si="30"/>
        <v>4</v>
      </c>
      <c r="Y246" s="2"/>
      <c r="Z246" s="29">
        <f t="shared" si="27"/>
        <v>4</v>
      </c>
      <c r="AA246" s="29">
        <f t="shared" si="31"/>
        <v>4</v>
      </c>
      <c r="AB246" s="2"/>
      <c r="AC246" s="29">
        <f>PAProjects[[#This Row],[GOU 24/25]]+PAProjects[[#This Row],[DONOR 24/25]]</f>
        <v>4</v>
      </c>
    </row>
    <row r="247" spans="1:29" ht="15" hidden="1" customHeight="1" x14ac:dyDescent="0.25">
      <c r="A247" s="21" t="s">
        <v>204</v>
      </c>
      <c r="B247" s="2" t="s">
        <v>1396</v>
      </c>
      <c r="C247" s="2" t="e">
        <f ca="1">PAProjects5[[#This Row],[LINKING_CODE]]=_xlfn.CONCAT(PAProjects5[[#This Row],[Project Code]]," ",PAProjects5[[#This Row],[Project Name]])</f>
        <v>#NAME?</v>
      </c>
      <c r="D247" s="2" t="e">
        <f>VLOOKUP(PAProjects5[[#This Row],[LINKING_CODE]],MasterTable[[Project Code and Name ]],1,FALSE)</f>
        <v>#N/A</v>
      </c>
      <c r="E247" s="2" t="s">
        <v>520</v>
      </c>
      <c r="F247" s="2" t="s">
        <v>975</v>
      </c>
      <c r="G247" s="2" t="s">
        <v>171</v>
      </c>
      <c r="H247" s="2" t="s">
        <v>1113</v>
      </c>
      <c r="I247" s="2" t="s">
        <v>1161</v>
      </c>
      <c r="J247" s="2" t="s">
        <v>747</v>
      </c>
      <c r="K247" s="2" t="str">
        <f t="shared" si="21"/>
        <v>Retooling</v>
      </c>
      <c r="L247" s="23">
        <v>44013</v>
      </c>
      <c r="M247" s="23">
        <v>44742</v>
      </c>
      <c r="N247" s="24">
        <v>5</v>
      </c>
      <c r="O247" s="20"/>
      <c r="P247" s="20">
        <f t="shared" si="32"/>
        <v>5</v>
      </c>
      <c r="Q247" s="20">
        <f>SUMIFS(MasterTable[Estimate of Arrears at end of the current FY 2020/21 (value)],MasterTable[[Project Code and Name ]],PAProjects5[[#This Row],[LINKING_CODE]],MasterTable[Funding Source],"GoU Funded")/10^9</f>
        <v>0</v>
      </c>
      <c r="R247" s="29">
        <f t="shared" si="28"/>
        <v>1</v>
      </c>
      <c r="S247" s="2"/>
      <c r="T247" s="29">
        <f>PAProjects[[#This Row],[GOU 21/22]]+PAProjects[[#This Row],[DONOR 21/22]]</f>
        <v>1</v>
      </c>
      <c r="U247" s="29">
        <f t="shared" si="29"/>
        <v>1</v>
      </c>
      <c r="V247" s="2"/>
      <c r="W247" s="29">
        <f>PAProjects[[#This Row],[GOU 22/23]]+PAProjects[[#This Row],[DONOR 22/23]]</f>
        <v>1</v>
      </c>
      <c r="X247" s="29">
        <f t="shared" si="30"/>
        <v>1</v>
      </c>
      <c r="Y247" s="2"/>
      <c r="Z247" s="29">
        <f t="shared" si="27"/>
        <v>1</v>
      </c>
      <c r="AA247" s="29">
        <f t="shared" si="31"/>
        <v>1</v>
      </c>
      <c r="AB247" s="2"/>
      <c r="AC247" s="29">
        <f>PAProjects[[#This Row],[GOU 24/25]]+PAProjects[[#This Row],[DONOR 24/25]]</f>
        <v>1</v>
      </c>
    </row>
    <row r="248" spans="1:29" ht="15" hidden="1" customHeight="1" x14ac:dyDescent="0.25">
      <c r="A248" s="21" t="s">
        <v>205</v>
      </c>
      <c r="B248" s="2" t="s">
        <v>1397</v>
      </c>
      <c r="C248" s="2" t="e">
        <f ca="1">PAProjects5[[#This Row],[LINKING_CODE]]=_xlfn.CONCAT(PAProjects5[[#This Row],[Project Code]]," ",PAProjects5[[#This Row],[Project Name]])</f>
        <v>#NAME?</v>
      </c>
      <c r="D248" s="2" t="e">
        <f>VLOOKUP(PAProjects5[[#This Row],[LINKING_CODE]],MasterTable[[Project Code and Name ]],1,FALSE)</f>
        <v>#N/A</v>
      </c>
      <c r="E248" s="2" t="s">
        <v>520</v>
      </c>
      <c r="F248" s="2" t="s">
        <v>975</v>
      </c>
      <c r="G248" s="2" t="s">
        <v>172</v>
      </c>
      <c r="H248" s="2" t="s">
        <v>1113</v>
      </c>
      <c r="I248" s="2" t="s">
        <v>1162</v>
      </c>
      <c r="J248" s="2" t="s">
        <v>743</v>
      </c>
      <c r="K248" s="2" t="str">
        <f t="shared" si="21"/>
        <v>Retooling</v>
      </c>
      <c r="L248" s="23">
        <v>44013</v>
      </c>
      <c r="M248" s="23">
        <v>44742</v>
      </c>
      <c r="N248" s="24">
        <v>1.1000000000000001</v>
      </c>
      <c r="O248" s="20"/>
      <c r="P248" s="20">
        <f t="shared" si="32"/>
        <v>1.1000000000000001</v>
      </c>
      <c r="Q248" s="20">
        <f>SUMIFS(MasterTable[Estimate of Arrears at end of the current FY 2020/21 (value)],MasterTable[[Project Code and Name ]],PAProjects5[[#This Row],[LINKING_CODE]],MasterTable[Funding Source],"GoU Funded")/10^9</f>
        <v>0</v>
      </c>
      <c r="R248" s="29">
        <f t="shared" si="28"/>
        <v>0.22000000000000003</v>
      </c>
      <c r="S248" s="2"/>
      <c r="T248" s="29">
        <f>PAProjects[[#This Row],[GOU 21/22]]+PAProjects[[#This Row],[DONOR 21/22]]</f>
        <v>0.22000000000000003</v>
      </c>
      <c r="U248" s="29">
        <f t="shared" si="29"/>
        <v>0.22000000000000003</v>
      </c>
      <c r="V248" s="2"/>
      <c r="W248" s="29">
        <f>PAProjects[[#This Row],[GOU 22/23]]+PAProjects[[#This Row],[DONOR 22/23]]</f>
        <v>0.22000000000000003</v>
      </c>
      <c r="X248" s="29">
        <f t="shared" si="30"/>
        <v>0.22000000000000003</v>
      </c>
      <c r="Y248" s="2"/>
      <c r="Z248" s="29">
        <f t="shared" si="27"/>
        <v>0.22000000000000003</v>
      </c>
      <c r="AA248" s="29">
        <f t="shared" si="31"/>
        <v>0.22000000000000003</v>
      </c>
      <c r="AB248" s="2"/>
      <c r="AC248" s="29">
        <f>PAProjects[[#This Row],[GOU 24/25]]+PAProjects[[#This Row],[DONOR 24/25]]</f>
        <v>0.22000000000000003</v>
      </c>
    </row>
    <row r="249" spans="1:29" ht="15" hidden="1" customHeight="1" x14ac:dyDescent="0.25">
      <c r="A249" s="21" t="s">
        <v>206</v>
      </c>
      <c r="B249" s="2" t="s">
        <v>1398</v>
      </c>
      <c r="C249" s="2" t="e">
        <f ca="1">PAProjects5[[#This Row],[LINKING_CODE]]=_xlfn.CONCAT(PAProjects5[[#This Row],[Project Code]]," ",PAProjects5[[#This Row],[Project Name]])</f>
        <v>#NAME?</v>
      </c>
      <c r="D249" s="2" t="e">
        <f>VLOOKUP(PAProjects5[[#This Row],[LINKING_CODE]],MasterTable[[Project Code and Name ]],1,FALSE)</f>
        <v>#N/A</v>
      </c>
      <c r="E249" s="2" t="s">
        <v>520</v>
      </c>
      <c r="F249" s="2" t="s">
        <v>975</v>
      </c>
      <c r="G249" s="2" t="s">
        <v>173</v>
      </c>
      <c r="H249" s="2" t="s">
        <v>1113</v>
      </c>
      <c r="I249" s="2" t="s">
        <v>1163</v>
      </c>
      <c r="J249" s="2" t="s">
        <v>739</v>
      </c>
      <c r="K249" s="2" t="str">
        <f t="shared" si="21"/>
        <v>Retooling</v>
      </c>
      <c r="L249" s="23">
        <v>44013</v>
      </c>
      <c r="M249" s="23">
        <v>44742</v>
      </c>
      <c r="N249" s="24">
        <v>7.5</v>
      </c>
      <c r="O249" s="20"/>
      <c r="P249" s="20">
        <f t="shared" si="32"/>
        <v>7.5</v>
      </c>
      <c r="Q249" s="20">
        <f>SUMIFS(MasterTable[Estimate of Arrears at end of the current FY 2020/21 (value)],MasterTable[[Project Code and Name ]],PAProjects5[[#This Row],[LINKING_CODE]],MasterTable[Funding Source],"GoU Funded")/10^9</f>
        <v>0</v>
      </c>
      <c r="R249" s="29">
        <f t="shared" si="28"/>
        <v>1.5</v>
      </c>
      <c r="S249" s="2"/>
      <c r="T249" s="29">
        <f>PAProjects[[#This Row],[GOU 21/22]]+PAProjects[[#This Row],[DONOR 21/22]]</f>
        <v>1.5</v>
      </c>
      <c r="U249" s="29">
        <f t="shared" si="29"/>
        <v>1.5</v>
      </c>
      <c r="V249" s="2"/>
      <c r="W249" s="29">
        <f>PAProjects[[#This Row],[GOU 22/23]]+PAProjects[[#This Row],[DONOR 22/23]]</f>
        <v>1.5</v>
      </c>
      <c r="X249" s="29">
        <f t="shared" si="30"/>
        <v>1.5</v>
      </c>
      <c r="Y249" s="2"/>
      <c r="Z249" s="29">
        <f t="shared" si="27"/>
        <v>1.5</v>
      </c>
      <c r="AA249" s="29">
        <f t="shared" si="31"/>
        <v>1.5</v>
      </c>
      <c r="AB249" s="2"/>
      <c r="AC249" s="29">
        <f>PAProjects[[#This Row],[GOU 24/25]]+PAProjects[[#This Row],[DONOR 24/25]]</f>
        <v>1.5</v>
      </c>
    </row>
    <row r="250" spans="1:29" ht="15" hidden="1" customHeight="1" x14ac:dyDescent="0.25">
      <c r="A250" s="21" t="s">
        <v>207</v>
      </c>
      <c r="B250" s="2" t="s">
        <v>1399</v>
      </c>
      <c r="C250" s="2" t="e">
        <f ca="1">PAProjects5[[#This Row],[LINKING_CODE]]=_xlfn.CONCAT(PAProjects5[[#This Row],[Project Code]]," ",PAProjects5[[#This Row],[Project Name]])</f>
        <v>#NAME?</v>
      </c>
      <c r="D250" s="2" t="e">
        <f>VLOOKUP(PAProjects5[[#This Row],[LINKING_CODE]],MasterTable[[Project Code and Name ]],1,FALSE)</f>
        <v>#N/A</v>
      </c>
      <c r="E250" s="2" t="s">
        <v>520</v>
      </c>
      <c r="F250" s="2" t="s">
        <v>975</v>
      </c>
      <c r="G250" s="2" t="s">
        <v>174</v>
      </c>
      <c r="H250" s="2" t="s">
        <v>1113</v>
      </c>
      <c r="I250" s="2" t="s">
        <v>1164</v>
      </c>
      <c r="J250" s="2" t="s">
        <v>740</v>
      </c>
      <c r="K250" s="2" t="str">
        <f t="shared" si="21"/>
        <v>Retooling</v>
      </c>
      <c r="L250" s="23">
        <v>44013</v>
      </c>
      <c r="M250" s="23">
        <v>44742</v>
      </c>
      <c r="N250" s="24">
        <v>4.2</v>
      </c>
      <c r="O250" s="20"/>
      <c r="P250" s="20">
        <f t="shared" si="32"/>
        <v>4.2</v>
      </c>
      <c r="Q250" s="20">
        <f>SUMIFS(MasterTable[Estimate of Arrears at end of the current FY 2020/21 (value)],MasterTable[[Project Code and Name ]],PAProjects5[[#This Row],[LINKING_CODE]],MasterTable[Funding Source],"GoU Funded")/10^9</f>
        <v>0</v>
      </c>
      <c r="R250" s="29">
        <f t="shared" si="28"/>
        <v>0.84000000000000008</v>
      </c>
      <c r="S250" s="2"/>
      <c r="T250" s="29">
        <f>PAProjects[[#This Row],[GOU 21/22]]+PAProjects[[#This Row],[DONOR 21/22]]</f>
        <v>0.84000000000000008</v>
      </c>
      <c r="U250" s="29">
        <f t="shared" si="29"/>
        <v>0.84000000000000008</v>
      </c>
      <c r="V250" s="2"/>
      <c r="W250" s="29">
        <f>PAProjects[[#This Row],[GOU 22/23]]+PAProjects[[#This Row],[DONOR 22/23]]</f>
        <v>0.84000000000000008</v>
      </c>
      <c r="X250" s="29">
        <f t="shared" si="30"/>
        <v>0.84000000000000008</v>
      </c>
      <c r="Y250" s="2"/>
      <c r="Z250" s="29">
        <f t="shared" si="27"/>
        <v>0.84000000000000008</v>
      </c>
      <c r="AA250" s="29">
        <f t="shared" si="31"/>
        <v>0.84000000000000008</v>
      </c>
      <c r="AB250" s="2"/>
      <c r="AC250" s="29">
        <f>PAProjects[[#This Row],[GOU 24/25]]+PAProjects[[#This Row],[DONOR 24/25]]</f>
        <v>0.84000000000000008</v>
      </c>
    </row>
    <row r="251" spans="1:29" ht="15" hidden="1" customHeight="1" x14ac:dyDescent="0.25">
      <c r="A251" s="21" t="s">
        <v>208</v>
      </c>
      <c r="B251" s="2" t="s">
        <v>1400</v>
      </c>
      <c r="C251" s="2" t="e">
        <f ca="1">PAProjects5[[#This Row],[LINKING_CODE]]=_xlfn.CONCAT(PAProjects5[[#This Row],[Project Code]]," ",PAProjects5[[#This Row],[Project Name]])</f>
        <v>#NAME?</v>
      </c>
      <c r="D251" s="2" t="e">
        <f>VLOOKUP(PAProjects5[[#This Row],[LINKING_CODE]],MasterTable[[Project Code and Name ]],1,FALSE)</f>
        <v>#N/A</v>
      </c>
      <c r="E251" s="2" t="s">
        <v>520</v>
      </c>
      <c r="F251" s="2" t="s">
        <v>975</v>
      </c>
      <c r="G251" s="2" t="s">
        <v>175</v>
      </c>
      <c r="H251" s="2" t="s">
        <v>1113</v>
      </c>
      <c r="I251" s="2" t="s">
        <v>1165</v>
      </c>
      <c r="J251" s="2" t="s">
        <v>1166</v>
      </c>
      <c r="K251" s="2" t="str">
        <f t="shared" si="21"/>
        <v>Retooling</v>
      </c>
      <c r="L251" s="23">
        <v>44013</v>
      </c>
      <c r="M251" s="23">
        <v>44742</v>
      </c>
      <c r="N251" s="24">
        <v>2.7</v>
      </c>
      <c r="O251" s="20"/>
      <c r="P251" s="20">
        <f t="shared" si="32"/>
        <v>2.7</v>
      </c>
      <c r="Q251" s="20">
        <f>SUMIFS(MasterTable[Estimate of Arrears at end of the current FY 2020/21 (value)],MasterTable[[Project Code and Name ]],PAProjects5[[#This Row],[LINKING_CODE]],MasterTable[Funding Source],"GoU Funded")/10^9</f>
        <v>0</v>
      </c>
      <c r="R251" s="29">
        <f t="shared" si="28"/>
        <v>0.54</v>
      </c>
      <c r="S251" s="2"/>
      <c r="T251" s="29">
        <f>PAProjects[[#This Row],[GOU 21/22]]+PAProjects[[#This Row],[DONOR 21/22]]</f>
        <v>0.54</v>
      </c>
      <c r="U251" s="29">
        <f t="shared" si="29"/>
        <v>0.54</v>
      </c>
      <c r="V251" s="2"/>
      <c r="W251" s="29">
        <f>PAProjects[[#This Row],[GOU 22/23]]+PAProjects[[#This Row],[DONOR 22/23]]</f>
        <v>0.54</v>
      </c>
      <c r="X251" s="29">
        <f t="shared" si="30"/>
        <v>0.54</v>
      </c>
      <c r="Y251" s="2"/>
      <c r="Z251" s="29">
        <f t="shared" si="27"/>
        <v>0.54</v>
      </c>
      <c r="AA251" s="29">
        <f t="shared" si="31"/>
        <v>0.54</v>
      </c>
      <c r="AB251" s="2"/>
      <c r="AC251" s="29">
        <f>PAProjects[[#This Row],[GOU 24/25]]+PAProjects[[#This Row],[DONOR 24/25]]</f>
        <v>0.54</v>
      </c>
    </row>
    <row r="252" spans="1:29" ht="15" hidden="1" customHeight="1" x14ac:dyDescent="0.25">
      <c r="A252" s="21" t="s">
        <v>209</v>
      </c>
      <c r="B252" s="2" t="s">
        <v>1401</v>
      </c>
      <c r="C252" s="2" t="e">
        <f ca="1">PAProjects5[[#This Row],[LINKING_CODE]]=_xlfn.CONCAT(PAProjects5[[#This Row],[Project Code]]," ",PAProjects5[[#This Row],[Project Name]])</f>
        <v>#NAME?</v>
      </c>
      <c r="D252" s="2" t="e">
        <f>VLOOKUP(PAProjects5[[#This Row],[LINKING_CODE]],MasterTable[[Project Code and Name ]],1,FALSE)</f>
        <v>#N/A</v>
      </c>
      <c r="E252" s="2" t="s">
        <v>520</v>
      </c>
      <c r="F252" s="2" t="s">
        <v>975</v>
      </c>
      <c r="G252" s="2" t="s">
        <v>176</v>
      </c>
      <c r="H252" s="2" t="s">
        <v>1113</v>
      </c>
      <c r="I252" s="2" t="s">
        <v>1167</v>
      </c>
      <c r="J252" s="2" t="s">
        <v>733</v>
      </c>
      <c r="K252" s="2" t="str">
        <f t="shared" si="21"/>
        <v>Retooling</v>
      </c>
      <c r="L252" s="23">
        <v>44013</v>
      </c>
      <c r="M252" s="23">
        <v>44742</v>
      </c>
      <c r="N252" s="24">
        <v>46</v>
      </c>
      <c r="O252" s="20"/>
      <c r="P252" s="20">
        <f t="shared" si="32"/>
        <v>46</v>
      </c>
      <c r="Q252" s="20">
        <f>SUMIFS(MasterTable[Estimate of Arrears at end of the current FY 2020/21 (value)],MasterTable[[Project Code and Name ]],PAProjects5[[#This Row],[LINKING_CODE]],MasterTable[Funding Source],"GoU Funded")/10^9</f>
        <v>0</v>
      </c>
      <c r="R252" s="29">
        <f t="shared" si="28"/>
        <v>9.1999999999999993</v>
      </c>
      <c r="S252" s="2"/>
      <c r="T252" s="29">
        <f>PAProjects[[#This Row],[GOU 21/22]]+PAProjects[[#This Row],[DONOR 21/22]]</f>
        <v>9.1999999999999993</v>
      </c>
      <c r="U252" s="29">
        <f t="shared" si="29"/>
        <v>9.1999999999999993</v>
      </c>
      <c r="V252" s="2"/>
      <c r="W252" s="29">
        <f>PAProjects[[#This Row],[GOU 22/23]]+PAProjects[[#This Row],[DONOR 22/23]]</f>
        <v>9.1999999999999993</v>
      </c>
      <c r="X252" s="29">
        <f t="shared" si="30"/>
        <v>9.1999999999999993</v>
      </c>
      <c r="Y252" s="2"/>
      <c r="Z252" s="29">
        <f t="shared" si="27"/>
        <v>9.1999999999999993</v>
      </c>
      <c r="AA252" s="29">
        <f t="shared" si="31"/>
        <v>9.1999999999999993</v>
      </c>
      <c r="AB252" s="2"/>
      <c r="AC252" s="29">
        <f>PAProjects[[#This Row],[GOU 24/25]]+PAProjects[[#This Row],[DONOR 24/25]]</f>
        <v>9.1999999999999993</v>
      </c>
    </row>
    <row r="253" spans="1:29" ht="15" hidden="1" customHeight="1" x14ac:dyDescent="0.25">
      <c r="A253" s="21" t="s">
        <v>210</v>
      </c>
      <c r="B253" s="2" t="s">
        <v>1402</v>
      </c>
      <c r="C253" s="2" t="e">
        <f ca="1">PAProjects5[[#This Row],[LINKING_CODE]]=_xlfn.CONCAT(PAProjects5[[#This Row],[Project Code]]," ",PAProjects5[[#This Row],[Project Name]])</f>
        <v>#NAME?</v>
      </c>
      <c r="D253" s="2" t="e">
        <f>VLOOKUP(PAProjects5[[#This Row],[LINKING_CODE]],MasterTable[[Project Code and Name ]],1,FALSE)</f>
        <v>#N/A</v>
      </c>
      <c r="E253" s="2" t="s">
        <v>520</v>
      </c>
      <c r="F253" s="2" t="s">
        <v>975</v>
      </c>
      <c r="G253" s="2" t="s">
        <v>177</v>
      </c>
      <c r="H253" s="2" t="s">
        <v>1113</v>
      </c>
      <c r="I253" s="2" t="s">
        <v>1168</v>
      </c>
      <c r="J253" s="2" t="s">
        <v>736</v>
      </c>
      <c r="K253" s="2" t="str">
        <f t="shared" si="21"/>
        <v>Retooling</v>
      </c>
      <c r="L253" s="23">
        <v>44013</v>
      </c>
      <c r="M253" s="23">
        <v>44742</v>
      </c>
      <c r="N253" s="24">
        <v>15</v>
      </c>
      <c r="O253" s="20"/>
      <c r="P253" s="20">
        <f t="shared" si="32"/>
        <v>15</v>
      </c>
      <c r="Q253" s="20">
        <f>SUMIFS(MasterTable[Estimate of Arrears at end of the current FY 2020/21 (value)],MasterTable[[Project Code and Name ]],PAProjects5[[#This Row],[LINKING_CODE]],MasterTable[Funding Source],"GoU Funded")/10^9</f>
        <v>0</v>
      </c>
      <c r="R253" s="29">
        <f t="shared" si="28"/>
        <v>3</v>
      </c>
      <c r="S253" s="2"/>
      <c r="T253" s="29">
        <f>PAProjects[[#This Row],[GOU 21/22]]+PAProjects[[#This Row],[DONOR 21/22]]</f>
        <v>3</v>
      </c>
      <c r="U253" s="29">
        <f t="shared" si="29"/>
        <v>3</v>
      </c>
      <c r="V253" s="2"/>
      <c r="W253" s="29">
        <f>PAProjects[[#This Row],[GOU 22/23]]+PAProjects[[#This Row],[DONOR 22/23]]</f>
        <v>3</v>
      </c>
      <c r="X253" s="29">
        <f t="shared" si="30"/>
        <v>3</v>
      </c>
      <c r="Y253" s="2"/>
      <c r="Z253" s="29">
        <f t="shared" si="27"/>
        <v>3</v>
      </c>
      <c r="AA253" s="29">
        <f t="shared" si="31"/>
        <v>3</v>
      </c>
      <c r="AB253" s="2"/>
      <c r="AC253" s="29">
        <f>PAProjects[[#This Row],[GOU 24/25]]+PAProjects[[#This Row],[DONOR 24/25]]</f>
        <v>3</v>
      </c>
    </row>
    <row r="254" spans="1:29" ht="15" hidden="1" customHeight="1" x14ac:dyDescent="0.25">
      <c r="A254" s="21" t="s">
        <v>211</v>
      </c>
      <c r="B254" s="2" t="s">
        <v>1403</v>
      </c>
      <c r="C254" s="2" t="e">
        <f ca="1">PAProjects5[[#This Row],[LINKING_CODE]]=_xlfn.CONCAT(PAProjects5[[#This Row],[Project Code]]," ",PAProjects5[[#This Row],[Project Name]])</f>
        <v>#NAME?</v>
      </c>
      <c r="D254" s="2" t="e">
        <f>VLOOKUP(PAProjects5[[#This Row],[LINKING_CODE]],MasterTable[[Project Code and Name ]],1,FALSE)</f>
        <v>#N/A</v>
      </c>
      <c r="E254" s="2" t="s">
        <v>520</v>
      </c>
      <c r="F254" s="2" t="s">
        <v>975</v>
      </c>
      <c r="G254" s="2" t="s">
        <v>178</v>
      </c>
      <c r="H254" s="2" t="s">
        <v>1113</v>
      </c>
      <c r="I254" s="2" t="s">
        <v>1169</v>
      </c>
      <c r="J254" s="2" t="s">
        <v>737</v>
      </c>
      <c r="K254" s="2" t="str">
        <f t="shared" si="21"/>
        <v>Retooling</v>
      </c>
      <c r="L254" s="23">
        <v>44013</v>
      </c>
      <c r="M254" s="23">
        <v>44742</v>
      </c>
      <c r="N254" s="24">
        <v>5.9</v>
      </c>
      <c r="O254" s="20"/>
      <c r="P254" s="20">
        <f t="shared" si="32"/>
        <v>5.9</v>
      </c>
      <c r="Q254" s="20">
        <f>SUMIFS(MasterTable[Estimate of Arrears at end of the current FY 2020/21 (value)],MasterTable[[Project Code and Name ]],PAProjects5[[#This Row],[LINKING_CODE]],MasterTable[Funding Source],"GoU Funded")/10^9</f>
        <v>0</v>
      </c>
      <c r="R254" s="29">
        <f t="shared" si="28"/>
        <v>1.1800000000000002</v>
      </c>
      <c r="S254" s="2"/>
      <c r="T254" s="29">
        <f>PAProjects[[#This Row],[GOU 21/22]]+PAProjects[[#This Row],[DONOR 21/22]]</f>
        <v>1.1800000000000002</v>
      </c>
      <c r="U254" s="29">
        <f t="shared" si="29"/>
        <v>1.1800000000000002</v>
      </c>
      <c r="V254" s="2"/>
      <c r="W254" s="29">
        <f>PAProjects[[#This Row],[GOU 22/23]]+PAProjects[[#This Row],[DONOR 22/23]]</f>
        <v>1.1800000000000002</v>
      </c>
      <c r="X254" s="29">
        <f t="shared" si="30"/>
        <v>1.1800000000000002</v>
      </c>
      <c r="Y254" s="2"/>
      <c r="Z254" s="29">
        <f t="shared" si="27"/>
        <v>1.1800000000000002</v>
      </c>
      <c r="AA254" s="29">
        <f t="shared" si="31"/>
        <v>1.1800000000000002</v>
      </c>
      <c r="AB254" s="2"/>
      <c r="AC254" s="29">
        <f>PAProjects[[#This Row],[GOU 24/25]]+PAProjects[[#This Row],[DONOR 24/25]]</f>
        <v>1.1800000000000002</v>
      </c>
    </row>
    <row r="255" spans="1:29" ht="15" hidden="1" customHeight="1" x14ac:dyDescent="0.25">
      <c r="A255" s="21" t="s">
        <v>212</v>
      </c>
      <c r="B255" s="2" t="s">
        <v>1404</v>
      </c>
      <c r="C255" s="2" t="e">
        <f ca="1">PAProjects5[[#This Row],[LINKING_CODE]]=_xlfn.CONCAT(PAProjects5[[#This Row],[Project Code]]," ",PAProjects5[[#This Row],[Project Name]])</f>
        <v>#NAME?</v>
      </c>
      <c r="D255" s="2" t="e">
        <f>VLOOKUP(PAProjects5[[#This Row],[LINKING_CODE]],MasterTable[[Project Code and Name ]],1,FALSE)</f>
        <v>#N/A</v>
      </c>
      <c r="E255" s="2" t="s">
        <v>520</v>
      </c>
      <c r="F255" s="2" t="s">
        <v>975</v>
      </c>
      <c r="G255" s="2" t="s">
        <v>179</v>
      </c>
      <c r="H255" s="2" t="s">
        <v>1113</v>
      </c>
      <c r="I255" s="2" t="s">
        <v>1170</v>
      </c>
      <c r="J255" s="2" t="s">
        <v>748</v>
      </c>
      <c r="K255" s="2" t="str">
        <f t="shared" si="21"/>
        <v>Retooling</v>
      </c>
      <c r="L255" s="23">
        <v>44013</v>
      </c>
      <c r="M255" s="23">
        <v>44742</v>
      </c>
      <c r="N255" s="24">
        <v>9.1</v>
      </c>
      <c r="O255" s="20"/>
      <c r="P255" s="20">
        <f t="shared" si="32"/>
        <v>9.1</v>
      </c>
      <c r="Q255" s="20">
        <f>SUMIFS(MasterTable[Estimate of Arrears at end of the current FY 2020/21 (value)],MasterTable[[Project Code and Name ]],PAProjects5[[#This Row],[LINKING_CODE]],MasterTable[Funding Source],"GoU Funded")/10^9</f>
        <v>0</v>
      </c>
      <c r="R255" s="29">
        <f t="shared" si="28"/>
        <v>1.8199999999999998</v>
      </c>
      <c r="S255" s="2"/>
      <c r="T255" s="29">
        <f>PAProjects[[#This Row],[GOU 21/22]]+PAProjects[[#This Row],[DONOR 21/22]]</f>
        <v>1.8199999999999998</v>
      </c>
      <c r="U255" s="29">
        <f t="shared" si="29"/>
        <v>1.8199999999999998</v>
      </c>
      <c r="V255" s="2"/>
      <c r="W255" s="29">
        <f>PAProjects[[#This Row],[GOU 22/23]]+PAProjects[[#This Row],[DONOR 22/23]]</f>
        <v>1.8199999999999998</v>
      </c>
      <c r="X255" s="29">
        <f t="shared" si="30"/>
        <v>1.8199999999999998</v>
      </c>
      <c r="Y255" s="2"/>
      <c r="Z255" s="29">
        <f t="shared" si="27"/>
        <v>1.8199999999999998</v>
      </c>
      <c r="AA255" s="29">
        <f t="shared" si="31"/>
        <v>1.8199999999999998</v>
      </c>
      <c r="AB255" s="2"/>
      <c r="AC255" s="29">
        <f>PAProjects[[#This Row],[GOU 24/25]]+PAProjects[[#This Row],[DONOR 24/25]]</f>
        <v>1.8199999999999998</v>
      </c>
    </row>
    <row r="256" spans="1:29" ht="15" hidden="1" customHeight="1" x14ac:dyDescent="0.25">
      <c r="A256" s="21" t="s">
        <v>213</v>
      </c>
      <c r="B256" s="2" t="s">
        <v>1405</v>
      </c>
      <c r="C256" s="2" t="e">
        <f ca="1">PAProjects5[[#This Row],[LINKING_CODE]]=_xlfn.CONCAT(PAProjects5[[#This Row],[Project Code]]," ",PAProjects5[[#This Row],[Project Name]])</f>
        <v>#NAME?</v>
      </c>
      <c r="D256" s="2" t="e">
        <f>VLOOKUP(PAProjects5[[#This Row],[LINKING_CODE]],MasterTable[[Project Code and Name ]],1,FALSE)</f>
        <v>#N/A</v>
      </c>
      <c r="E256" s="2" t="s">
        <v>520</v>
      </c>
      <c r="F256" s="2" t="s">
        <v>975</v>
      </c>
      <c r="G256" s="2" t="s">
        <v>180</v>
      </c>
      <c r="H256" s="2" t="s">
        <v>1113</v>
      </c>
      <c r="I256" s="2" t="s">
        <v>1171</v>
      </c>
      <c r="J256" s="2" t="s">
        <v>735</v>
      </c>
      <c r="K256" s="2" t="str">
        <f t="shared" si="21"/>
        <v>Retooling</v>
      </c>
      <c r="L256" s="23">
        <v>44013</v>
      </c>
      <c r="M256" s="23">
        <v>44742</v>
      </c>
      <c r="N256" s="24">
        <v>10.8</v>
      </c>
      <c r="O256" s="20"/>
      <c r="P256" s="20">
        <f t="shared" si="32"/>
        <v>10.8</v>
      </c>
      <c r="Q256" s="20">
        <f>SUMIFS(MasterTable[Estimate of Arrears at end of the current FY 2020/21 (value)],MasterTable[[Project Code and Name ]],PAProjects5[[#This Row],[LINKING_CODE]],MasterTable[Funding Source],"GoU Funded")/10^9</f>
        <v>0</v>
      </c>
      <c r="R256" s="29">
        <f t="shared" si="28"/>
        <v>2.16</v>
      </c>
      <c r="S256" s="2"/>
      <c r="T256" s="29">
        <f>PAProjects[[#This Row],[GOU 21/22]]+PAProjects[[#This Row],[DONOR 21/22]]</f>
        <v>2.16</v>
      </c>
      <c r="U256" s="29">
        <f t="shared" si="29"/>
        <v>2.16</v>
      </c>
      <c r="V256" s="2"/>
      <c r="W256" s="29">
        <f>PAProjects[[#This Row],[GOU 22/23]]+PAProjects[[#This Row],[DONOR 22/23]]</f>
        <v>2.16</v>
      </c>
      <c r="X256" s="29">
        <f t="shared" si="30"/>
        <v>2.16</v>
      </c>
      <c r="Y256" s="2"/>
      <c r="Z256" s="29">
        <f t="shared" si="27"/>
        <v>2.16</v>
      </c>
      <c r="AA256" s="29">
        <f t="shared" si="31"/>
        <v>2.16</v>
      </c>
      <c r="AB256" s="2"/>
      <c r="AC256" s="29">
        <f>PAProjects[[#This Row],[GOU 24/25]]+PAProjects[[#This Row],[DONOR 24/25]]</f>
        <v>2.16</v>
      </c>
    </row>
    <row r="257" spans="1:29" ht="15" hidden="1" customHeight="1" x14ac:dyDescent="0.25">
      <c r="A257" s="21" t="s">
        <v>214</v>
      </c>
      <c r="B257" s="2" t="s">
        <v>1406</v>
      </c>
      <c r="C257" s="2" t="e">
        <f ca="1">PAProjects5[[#This Row],[LINKING_CODE]]=_xlfn.CONCAT(PAProjects5[[#This Row],[Project Code]]," ",PAProjects5[[#This Row],[Project Name]])</f>
        <v>#NAME?</v>
      </c>
      <c r="D257" s="2" t="e">
        <f>VLOOKUP(PAProjects5[[#This Row],[LINKING_CODE]],MasterTable[[Project Code and Name ]],1,FALSE)</f>
        <v>#N/A</v>
      </c>
      <c r="E257" s="2" t="s">
        <v>520</v>
      </c>
      <c r="F257" s="2" t="s">
        <v>975</v>
      </c>
      <c r="G257" s="2" t="s">
        <v>304</v>
      </c>
      <c r="H257" s="2" t="s">
        <v>1113</v>
      </c>
      <c r="I257" s="2" t="s">
        <v>1172</v>
      </c>
      <c r="J257" s="2" t="s">
        <v>731</v>
      </c>
      <c r="K257" s="2" t="str">
        <f t="shared" si="21"/>
        <v>Retooling</v>
      </c>
      <c r="L257" s="23">
        <v>44013</v>
      </c>
      <c r="M257" s="23">
        <v>44742</v>
      </c>
      <c r="N257" s="24">
        <v>6</v>
      </c>
      <c r="O257" s="20"/>
      <c r="P257" s="20">
        <f t="shared" si="32"/>
        <v>6</v>
      </c>
      <c r="Q257" s="20">
        <f>SUMIFS(MasterTable[Estimate of Arrears at end of the current FY 2020/21 (value)],MasterTable[[Project Code and Name ]],PAProjects5[[#This Row],[LINKING_CODE]],MasterTable[Funding Source],"GoU Funded")/10^9</f>
        <v>0</v>
      </c>
      <c r="R257" s="29">
        <f t="shared" si="28"/>
        <v>1.2</v>
      </c>
      <c r="S257" s="2"/>
      <c r="T257" s="29">
        <f>PAProjects[[#This Row],[GOU 21/22]]+PAProjects[[#This Row],[DONOR 21/22]]</f>
        <v>1.2</v>
      </c>
      <c r="U257" s="29">
        <f t="shared" si="29"/>
        <v>1.2</v>
      </c>
      <c r="V257" s="2"/>
      <c r="W257" s="29">
        <f>PAProjects[[#This Row],[GOU 22/23]]+PAProjects[[#This Row],[DONOR 22/23]]</f>
        <v>1.2</v>
      </c>
      <c r="X257" s="29">
        <f t="shared" si="30"/>
        <v>1.2</v>
      </c>
      <c r="Y257" s="2"/>
      <c r="Z257" s="29">
        <f t="shared" si="27"/>
        <v>1.2</v>
      </c>
      <c r="AA257" s="29">
        <f t="shared" si="31"/>
        <v>1.2</v>
      </c>
      <c r="AB257" s="2"/>
      <c r="AC257" s="29">
        <f>PAProjects[[#This Row],[GOU 24/25]]+PAProjects[[#This Row],[DONOR 24/25]]</f>
        <v>1.2</v>
      </c>
    </row>
    <row r="258" spans="1:29" ht="15" hidden="1" customHeight="1" x14ac:dyDescent="0.25">
      <c r="A258" s="21" t="s">
        <v>215</v>
      </c>
      <c r="B258" s="2" t="s">
        <v>1407</v>
      </c>
      <c r="C258" s="2" t="e">
        <f ca="1">PAProjects5[[#This Row],[LINKING_CODE]]=_xlfn.CONCAT(PAProjects5[[#This Row],[Project Code]]," ",PAProjects5[[#This Row],[Project Name]])</f>
        <v>#NAME?</v>
      </c>
      <c r="D258" s="2" t="e">
        <f>VLOOKUP(PAProjects5[[#This Row],[LINKING_CODE]],MasterTable[[Project Code and Name ]],1,FALSE)</f>
        <v>#N/A</v>
      </c>
      <c r="E258" s="2" t="s">
        <v>522</v>
      </c>
      <c r="F258" s="2" t="s">
        <v>1173</v>
      </c>
      <c r="G258" s="2" t="s">
        <v>68</v>
      </c>
      <c r="H258" s="2" t="s">
        <v>1113</v>
      </c>
      <c r="I258" s="2" t="s">
        <v>1174</v>
      </c>
      <c r="J258" s="2" t="s">
        <v>798</v>
      </c>
      <c r="K258" s="2" t="str">
        <f t="shared" si="21"/>
        <v>Retooling</v>
      </c>
      <c r="L258" s="23">
        <v>44013</v>
      </c>
      <c r="M258" s="23">
        <v>44742</v>
      </c>
      <c r="N258" s="24">
        <v>80.343999999999994</v>
      </c>
      <c r="O258" s="25">
        <v>0</v>
      </c>
      <c r="P258" s="20">
        <f t="shared" si="32"/>
        <v>80.343999999999994</v>
      </c>
      <c r="Q258" s="20">
        <f>SUMIFS(MasterTable[Estimate of Arrears at end of the current FY 2020/21 (value)],MasterTable[[Project Code and Name ]],PAProjects5[[#This Row],[LINKING_CODE]],MasterTable[Funding Source],"GoU Funded")/10^9</f>
        <v>0</v>
      </c>
      <c r="R258" s="29">
        <v>10.527442562999999</v>
      </c>
      <c r="S258" s="2"/>
      <c r="T258" s="29">
        <f>PAProjects[[#This Row],[GOU 21/22]]+PAProjects[[#This Row],[DONOR 21/22]]</f>
        <v>10.527442562999999</v>
      </c>
      <c r="U258" s="29">
        <v>13.256558947</v>
      </c>
      <c r="V258" s="2"/>
      <c r="W258" s="29">
        <f>PAProjects[[#This Row],[GOU 22/23]]+PAProjects[[#This Row],[DONOR 22/23]]</f>
        <v>13.256558947</v>
      </c>
      <c r="X258" s="29">
        <v>15.245042789999999</v>
      </c>
      <c r="Y258" s="2"/>
      <c r="Z258" s="29">
        <f t="shared" si="27"/>
        <v>15.245042789999999</v>
      </c>
      <c r="AA258" s="29">
        <v>17.531799207999999</v>
      </c>
      <c r="AB258" s="2"/>
      <c r="AC258" s="29">
        <f>PAProjects[[#This Row],[GOU 24/25]]+PAProjects[[#This Row],[DONOR 24/25]]</f>
        <v>17.531799207999999</v>
      </c>
    </row>
    <row r="259" spans="1:29" ht="15" hidden="1" customHeight="1" x14ac:dyDescent="0.25">
      <c r="A259" s="21" t="s">
        <v>217</v>
      </c>
      <c r="B259" s="2" t="s">
        <v>1408</v>
      </c>
      <c r="C259" s="2" t="e">
        <f ca="1">PAProjects5[[#This Row],[LINKING_CODE]]=_xlfn.CONCAT(PAProjects5[[#This Row],[Project Code]]," ",PAProjects5[[#This Row],[Project Name]])</f>
        <v>#NAME?</v>
      </c>
      <c r="D259" s="2" t="e">
        <f>VLOOKUP(PAProjects5[[#This Row],[LINKING_CODE]],MasterTable[[Project Code and Name ]],1,FALSE)</f>
        <v>#N/A</v>
      </c>
      <c r="E259" s="2" t="s">
        <v>522</v>
      </c>
      <c r="F259" s="2" t="s">
        <v>1173</v>
      </c>
      <c r="G259" s="2" t="s">
        <v>150</v>
      </c>
      <c r="H259" s="2" t="s">
        <v>1113</v>
      </c>
      <c r="I259" s="2" t="s">
        <v>1175</v>
      </c>
      <c r="J259" s="2" t="s">
        <v>799</v>
      </c>
      <c r="K259" s="2" t="str">
        <f t="shared" si="21"/>
        <v>Retooling</v>
      </c>
      <c r="L259" s="23">
        <v>44013</v>
      </c>
      <c r="M259" s="23">
        <v>44742</v>
      </c>
      <c r="N259" s="20">
        <v>0.99</v>
      </c>
      <c r="O259" s="20"/>
      <c r="P259" s="20">
        <f t="shared" si="32"/>
        <v>0.99</v>
      </c>
      <c r="Q259" s="20">
        <f>SUMIFS(MasterTable[Estimate of Arrears at end of the current FY 2020/21 (value)],MasterTable[[Project Code and Name ]],PAProjects5[[#This Row],[LINKING_CODE]],MasterTable[Funding Source],"GoU Funded")/10^9</f>
        <v>0</v>
      </c>
      <c r="R259" s="29">
        <f t="shared" ref="R259:R281" si="33">N259/5</f>
        <v>0.19800000000000001</v>
      </c>
      <c r="S259" s="2"/>
      <c r="T259" s="29">
        <f>PAProjects[[#This Row],[GOU 21/22]]+PAProjects[[#This Row],[DONOR 21/22]]</f>
        <v>0.19800000000000001</v>
      </c>
      <c r="U259" s="29">
        <f t="shared" ref="U259:U281" si="34">R259</f>
        <v>0.19800000000000001</v>
      </c>
      <c r="V259" s="2"/>
      <c r="W259" s="29">
        <f>PAProjects[[#This Row],[GOU 22/23]]+PAProjects[[#This Row],[DONOR 22/23]]</f>
        <v>0.19800000000000001</v>
      </c>
      <c r="X259" s="29">
        <f t="shared" ref="X259:X281" si="35">U259</f>
        <v>0.19800000000000001</v>
      </c>
      <c r="Y259" s="2"/>
      <c r="Z259" s="29">
        <f t="shared" si="27"/>
        <v>0.19800000000000001</v>
      </c>
      <c r="AA259" s="29">
        <f t="shared" ref="AA259:AA281" si="36">X259</f>
        <v>0.19800000000000001</v>
      </c>
      <c r="AB259" s="2"/>
      <c r="AC259" s="29">
        <f>PAProjects[[#This Row],[GOU 24/25]]+PAProjects[[#This Row],[DONOR 24/25]]</f>
        <v>0.19800000000000001</v>
      </c>
    </row>
    <row r="260" spans="1:29" ht="15" hidden="1" customHeight="1" x14ac:dyDescent="0.25">
      <c r="A260" s="21" t="s">
        <v>218</v>
      </c>
      <c r="B260" s="2" t="s">
        <v>1409</v>
      </c>
      <c r="C260" s="2" t="e">
        <f ca="1">PAProjects5[[#This Row],[LINKING_CODE]]=_xlfn.CONCAT(PAProjects5[[#This Row],[Project Code]]," ",PAProjects5[[#This Row],[Project Name]])</f>
        <v>#NAME?</v>
      </c>
      <c r="D260" s="2" t="e">
        <f>VLOOKUP(PAProjects5[[#This Row],[LINKING_CODE]],MasterTable[[Project Code and Name ]],1,FALSE)</f>
        <v>#N/A</v>
      </c>
      <c r="E260" s="2" t="s">
        <v>522</v>
      </c>
      <c r="F260" s="2" t="s">
        <v>1173</v>
      </c>
      <c r="G260" s="2" t="s">
        <v>302</v>
      </c>
      <c r="H260" s="2" t="s">
        <v>1113</v>
      </c>
      <c r="I260" s="2" t="s">
        <v>1176</v>
      </c>
      <c r="J260" s="2" t="s">
        <v>804</v>
      </c>
      <c r="K260" s="2" t="str">
        <f t="shared" si="21"/>
        <v>Retooling</v>
      </c>
      <c r="L260" s="23">
        <v>44013</v>
      </c>
      <c r="M260" s="23">
        <v>44742</v>
      </c>
      <c r="N260" s="20">
        <v>19.361000000000001</v>
      </c>
      <c r="O260" s="20"/>
      <c r="P260" s="20">
        <f t="shared" si="32"/>
        <v>19.361000000000001</v>
      </c>
      <c r="Q260" s="20">
        <f>SUMIFS(MasterTable[Estimate of Arrears at end of the current FY 2020/21 (value)],MasterTable[[Project Code and Name ]],PAProjects5[[#This Row],[LINKING_CODE]],MasterTable[Funding Source],"GoU Funded")/10^9</f>
        <v>0</v>
      </c>
      <c r="R260" s="29">
        <f t="shared" si="33"/>
        <v>3.8722000000000003</v>
      </c>
      <c r="S260" s="2"/>
      <c r="T260" s="29">
        <f>PAProjects[[#This Row],[GOU 21/22]]+PAProjects[[#This Row],[DONOR 21/22]]</f>
        <v>3.8722000000000003</v>
      </c>
      <c r="U260" s="29">
        <f t="shared" si="34"/>
        <v>3.8722000000000003</v>
      </c>
      <c r="V260" s="2"/>
      <c r="W260" s="29">
        <f>PAProjects[[#This Row],[GOU 22/23]]+PAProjects[[#This Row],[DONOR 22/23]]</f>
        <v>3.8722000000000003</v>
      </c>
      <c r="X260" s="29">
        <f t="shared" si="35"/>
        <v>3.8722000000000003</v>
      </c>
      <c r="Y260" s="2"/>
      <c r="Z260" s="29">
        <f t="shared" si="27"/>
        <v>3.8722000000000003</v>
      </c>
      <c r="AA260" s="29">
        <f t="shared" si="36"/>
        <v>3.8722000000000003</v>
      </c>
      <c r="AB260" s="2"/>
      <c r="AC260" s="29">
        <f>PAProjects[[#This Row],[GOU 24/25]]+PAProjects[[#This Row],[DONOR 24/25]]</f>
        <v>3.8722000000000003</v>
      </c>
    </row>
    <row r="261" spans="1:29" ht="15" hidden="1" customHeight="1" x14ac:dyDescent="0.25">
      <c r="A261" s="21" t="s">
        <v>219</v>
      </c>
      <c r="B261" s="2" t="s">
        <v>1410</v>
      </c>
      <c r="C261" s="2" t="e">
        <f ca="1">PAProjects5[[#This Row],[LINKING_CODE]]=_xlfn.CONCAT(PAProjects5[[#This Row],[Project Code]]," ",PAProjects5[[#This Row],[Project Name]])</f>
        <v>#NAME?</v>
      </c>
      <c r="D261" s="2" t="e">
        <f>VLOOKUP(PAProjects5[[#This Row],[LINKING_CODE]],MasterTable[[Project Code and Name ]],1,FALSE)</f>
        <v>#N/A</v>
      </c>
      <c r="E261" s="2" t="s">
        <v>524</v>
      </c>
      <c r="F261" s="2" t="s">
        <v>990</v>
      </c>
      <c r="G261" s="2" t="s">
        <v>67</v>
      </c>
      <c r="H261" s="2" t="s">
        <v>1113</v>
      </c>
      <c r="I261" s="2" t="s">
        <v>1177</v>
      </c>
      <c r="J261" s="2" t="s">
        <v>808</v>
      </c>
      <c r="K261" s="2" t="str">
        <f t="shared" si="21"/>
        <v>Retooling</v>
      </c>
      <c r="L261" s="23">
        <v>44013</v>
      </c>
      <c r="M261" s="23">
        <v>44742</v>
      </c>
      <c r="N261" s="24">
        <v>93.52</v>
      </c>
      <c r="O261" s="20"/>
      <c r="P261" s="20">
        <f t="shared" si="32"/>
        <v>93.52</v>
      </c>
      <c r="Q261" s="20">
        <f>SUMIFS(MasterTable[Estimate of Arrears at end of the current FY 2020/21 (value)],MasterTable[[Project Code and Name ]],PAProjects5[[#This Row],[LINKING_CODE]],MasterTable[Funding Source],"GoU Funded")/10^9</f>
        <v>0</v>
      </c>
      <c r="R261" s="29">
        <f t="shared" si="33"/>
        <v>18.704000000000001</v>
      </c>
      <c r="S261" s="2"/>
      <c r="T261" s="29">
        <f>PAProjects[[#This Row],[GOU 21/22]]+PAProjects[[#This Row],[DONOR 21/22]]</f>
        <v>18.704000000000001</v>
      </c>
      <c r="U261" s="29">
        <f t="shared" si="34"/>
        <v>18.704000000000001</v>
      </c>
      <c r="V261" s="2"/>
      <c r="W261" s="29">
        <f>PAProjects[[#This Row],[GOU 22/23]]+PAProjects[[#This Row],[DONOR 22/23]]</f>
        <v>18.704000000000001</v>
      </c>
      <c r="X261" s="29">
        <f t="shared" si="35"/>
        <v>18.704000000000001</v>
      </c>
      <c r="Y261" s="2"/>
      <c r="Z261" s="29">
        <f t="shared" si="27"/>
        <v>18.704000000000001</v>
      </c>
      <c r="AA261" s="29">
        <f t="shared" si="36"/>
        <v>18.704000000000001</v>
      </c>
      <c r="AB261" s="2"/>
      <c r="AC261" s="29">
        <f>PAProjects[[#This Row],[GOU 24/25]]+PAProjects[[#This Row],[DONOR 24/25]]</f>
        <v>18.704000000000001</v>
      </c>
    </row>
    <row r="262" spans="1:29" ht="15" hidden="1" customHeight="1" x14ac:dyDescent="0.25">
      <c r="A262" s="21" t="s">
        <v>221</v>
      </c>
      <c r="B262" s="2" t="s">
        <v>1411</v>
      </c>
      <c r="C262" s="2" t="e">
        <f ca="1">PAProjects5[[#This Row],[LINKING_CODE]]=_xlfn.CONCAT(PAProjects5[[#This Row],[Project Code]]," ",PAProjects5[[#This Row],[Project Name]])</f>
        <v>#NAME?</v>
      </c>
      <c r="D262" s="2" t="e">
        <f>VLOOKUP(PAProjects5[[#This Row],[LINKING_CODE]],MasterTable[[Project Code and Name ]],1,FALSE)</f>
        <v>#N/A</v>
      </c>
      <c r="E262" s="2" t="s">
        <v>524</v>
      </c>
      <c r="F262" s="2" t="s">
        <v>990</v>
      </c>
      <c r="G262" s="2" t="s">
        <v>124</v>
      </c>
      <c r="H262" s="2" t="s">
        <v>1113</v>
      </c>
      <c r="I262" s="2" t="s">
        <v>1178</v>
      </c>
      <c r="J262" s="2" t="s">
        <v>809</v>
      </c>
      <c r="K262" s="2" t="str">
        <f t="shared" si="21"/>
        <v>Retooling</v>
      </c>
      <c r="L262" s="23">
        <v>44013</v>
      </c>
      <c r="M262" s="23">
        <v>44742</v>
      </c>
      <c r="N262" s="24">
        <v>8.3000000000000007</v>
      </c>
      <c r="O262" s="20"/>
      <c r="P262" s="20">
        <f t="shared" si="32"/>
        <v>8.3000000000000007</v>
      </c>
      <c r="Q262" s="20">
        <f>SUMIFS(MasterTable[Estimate of Arrears at end of the current FY 2020/21 (value)],MasterTable[[Project Code and Name ]],PAProjects5[[#This Row],[LINKING_CODE]],MasterTable[Funding Source],"GoU Funded")/10^9</f>
        <v>0</v>
      </c>
      <c r="R262" s="29">
        <f t="shared" si="33"/>
        <v>1.6600000000000001</v>
      </c>
      <c r="S262" s="2"/>
      <c r="T262" s="29">
        <f>PAProjects[[#This Row],[GOU 21/22]]+PAProjects[[#This Row],[DONOR 21/22]]</f>
        <v>1.6600000000000001</v>
      </c>
      <c r="U262" s="29">
        <f t="shared" si="34"/>
        <v>1.6600000000000001</v>
      </c>
      <c r="V262" s="2"/>
      <c r="W262" s="29">
        <f>PAProjects[[#This Row],[GOU 22/23]]+PAProjects[[#This Row],[DONOR 22/23]]</f>
        <v>1.6600000000000001</v>
      </c>
      <c r="X262" s="29">
        <f t="shared" si="35"/>
        <v>1.6600000000000001</v>
      </c>
      <c r="Y262" s="2"/>
      <c r="Z262" s="29">
        <f t="shared" si="27"/>
        <v>1.6600000000000001</v>
      </c>
      <c r="AA262" s="29">
        <f t="shared" si="36"/>
        <v>1.6600000000000001</v>
      </c>
      <c r="AB262" s="2"/>
      <c r="AC262" s="29">
        <f>PAProjects[[#This Row],[GOU 24/25]]+PAProjects[[#This Row],[DONOR 24/25]]</f>
        <v>1.6600000000000001</v>
      </c>
    </row>
    <row r="263" spans="1:29" ht="15" hidden="1" customHeight="1" x14ac:dyDescent="0.25">
      <c r="A263" s="21" t="s">
        <v>222</v>
      </c>
      <c r="B263" s="2" t="s">
        <v>1412</v>
      </c>
      <c r="C263" s="2" t="e">
        <f ca="1">PAProjects5[[#This Row],[LINKING_CODE]]=_xlfn.CONCAT(PAProjects5[[#This Row],[Project Code]]," ",PAProjects5[[#This Row],[Project Name]])</f>
        <v>#NAME?</v>
      </c>
      <c r="D263" s="2" t="str">
        <f>VLOOKUP(PAProjects5[[#This Row],[LINKING_CODE]],MasterTable[[Project Code and Name ]],1,FALSE)</f>
        <v>1593 Retooling of Internal Security Organization</v>
      </c>
      <c r="E263" s="2" t="s">
        <v>525</v>
      </c>
      <c r="F263" s="2" t="s">
        <v>952</v>
      </c>
      <c r="G263" s="2" t="s">
        <v>1179</v>
      </c>
      <c r="H263" s="2" t="s">
        <v>1113</v>
      </c>
      <c r="I263" s="2" t="s">
        <v>1180</v>
      </c>
      <c r="J263" s="2" t="s">
        <v>869</v>
      </c>
      <c r="K263" s="2" t="str">
        <f t="shared" si="21"/>
        <v>Retooling</v>
      </c>
      <c r="L263" s="23">
        <v>44013</v>
      </c>
      <c r="M263" s="23">
        <v>44742</v>
      </c>
      <c r="N263" s="36">
        <v>472.16699999999997</v>
      </c>
      <c r="O263" s="20"/>
      <c r="P263" s="20">
        <f t="shared" si="32"/>
        <v>472.16699999999997</v>
      </c>
      <c r="Q263" s="20">
        <f>SUMIFS(MasterTable[Estimate of Arrears at end of the current FY 2020/21 (value)],MasterTable[[Project Code and Name ]],PAProjects5[[#This Row],[LINKING_CODE]],MasterTable[Funding Source],"GoU Funded")/10^9</f>
        <v>0</v>
      </c>
      <c r="R263" s="29">
        <f t="shared" si="33"/>
        <v>94.433399999999992</v>
      </c>
      <c r="S263" s="2"/>
      <c r="T263" s="29">
        <f>PAProjects[[#This Row],[GOU 21/22]]+PAProjects[[#This Row],[DONOR 21/22]]</f>
        <v>159.692082</v>
      </c>
      <c r="U263" s="29">
        <f t="shared" si="34"/>
        <v>94.433399999999992</v>
      </c>
      <c r="V263" s="2"/>
      <c r="W263" s="29">
        <f>PAProjects[[#This Row],[GOU 22/23]]+PAProjects[[#This Row],[DONOR 22/23]]</f>
        <v>100.613561</v>
      </c>
      <c r="X263" s="29">
        <f t="shared" si="35"/>
        <v>94.433399999999992</v>
      </c>
      <c r="Y263" s="2"/>
      <c r="Z263" s="29">
        <f t="shared" si="27"/>
        <v>94.433399999999992</v>
      </c>
      <c r="AA263" s="29">
        <f t="shared" si="36"/>
        <v>94.433399999999992</v>
      </c>
      <c r="AB263" s="2"/>
      <c r="AC263" s="29">
        <f>PAProjects[[#This Row],[GOU 24/25]]+PAProjects[[#This Row],[DONOR 24/25]]</f>
        <v>125.11403749999999</v>
      </c>
    </row>
    <row r="264" spans="1:29" ht="15" hidden="1" customHeight="1" x14ac:dyDescent="0.25">
      <c r="A264" s="21" t="s">
        <v>223</v>
      </c>
      <c r="B264" s="2" t="s">
        <v>1413</v>
      </c>
      <c r="C264" s="2" t="e">
        <f ca="1">PAProjects5[[#This Row],[LINKING_CODE]]=_xlfn.CONCAT(PAProjects5[[#This Row],[Project Code]]," ",PAProjects5[[#This Row],[Project Name]])</f>
        <v>#NAME?</v>
      </c>
      <c r="D264" s="2" t="e">
        <f>VLOOKUP(PAProjects5[[#This Row],[LINKING_CODE]],MasterTable[[Project Code and Name ]],1,FALSE)</f>
        <v>#N/A</v>
      </c>
      <c r="E264" s="2" t="s">
        <v>525</v>
      </c>
      <c r="F264" s="2" t="s">
        <v>952</v>
      </c>
      <c r="G264" s="2" t="s">
        <v>32</v>
      </c>
      <c r="H264" s="2" t="s">
        <v>1113</v>
      </c>
      <c r="I264" s="2" t="s">
        <v>1181</v>
      </c>
      <c r="J264" s="2" t="s">
        <v>816</v>
      </c>
      <c r="K264" s="2" t="str">
        <f t="shared" si="21"/>
        <v>Retooling</v>
      </c>
      <c r="L264" s="23">
        <v>44013</v>
      </c>
      <c r="M264" s="23">
        <v>45838</v>
      </c>
      <c r="N264" s="36">
        <v>20.9</v>
      </c>
      <c r="O264" s="20"/>
      <c r="P264" s="20">
        <f t="shared" si="32"/>
        <v>20.9</v>
      </c>
      <c r="Q264" s="20">
        <f>SUMIFS(MasterTable[Estimate of Arrears at end of the current FY 2020/21 (value)],MasterTable[[Project Code and Name ]],PAProjects5[[#This Row],[LINKING_CODE]],MasterTable[Funding Source],"GoU Funded")/10^9</f>
        <v>0</v>
      </c>
      <c r="R264" s="29">
        <f t="shared" si="33"/>
        <v>4.18</v>
      </c>
      <c r="S264" s="2"/>
      <c r="T264" s="29">
        <f>PAProjects[[#This Row],[GOU 21/22]]+PAProjects[[#This Row],[DONOR 21/22]]</f>
        <v>4.18</v>
      </c>
      <c r="U264" s="29">
        <f t="shared" si="34"/>
        <v>4.18</v>
      </c>
      <c r="V264" s="2"/>
      <c r="W264" s="29">
        <f>PAProjects[[#This Row],[GOU 22/23]]+PAProjects[[#This Row],[DONOR 22/23]]</f>
        <v>4.18</v>
      </c>
      <c r="X264" s="29">
        <f t="shared" si="35"/>
        <v>4.18</v>
      </c>
      <c r="Y264" s="2"/>
      <c r="Z264" s="29">
        <f t="shared" ref="Z264:Z281" si="37">SUM(X264:Y264)</f>
        <v>4.18</v>
      </c>
      <c r="AA264" s="29">
        <f t="shared" si="36"/>
        <v>4.18</v>
      </c>
      <c r="AB264" s="2"/>
      <c r="AC264" s="29">
        <f>PAProjects[[#This Row],[GOU 24/25]]+PAProjects[[#This Row],[DONOR 24/25]]</f>
        <v>4.18</v>
      </c>
    </row>
    <row r="265" spans="1:29" ht="15" hidden="1" customHeight="1" x14ac:dyDescent="0.25">
      <c r="A265" s="21" t="s">
        <v>224</v>
      </c>
      <c r="B265" s="2" t="s">
        <v>1414</v>
      </c>
      <c r="C265" s="2" t="e">
        <f ca="1">PAProjects5[[#This Row],[LINKING_CODE]]=_xlfn.CONCAT(PAProjects5[[#This Row],[Project Code]]," ",PAProjects5[[#This Row],[Project Name]])</f>
        <v>#NAME?</v>
      </c>
      <c r="D265" s="2" t="e">
        <f>VLOOKUP(PAProjects5[[#This Row],[LINKING_CODE]],MasterTable[[Project Code and Name ]],1,FALSE)</f>
        <v>#N/A</v>
      </c>
      <c r="E265" s="2" t="s">
        <v>525</v>
      </c>
      <c r="F265" s="2" t="s">
        <v>952</v>
      </c>
      <c r="G265" s="2" t="s">
        <v>159</v>
      </c>
      <c r="H265" s="2" t="s">
        <v>1113</v>
      </c>
      <c r="I265" s="2" t="s">
        <v>1182</v>
      </c>
      <c r="J265" s="2" t="s">
        <v>818</v>
      </c>
      <c r="K265" s="2" t="str">
        <f t="shared" si="21"/>
        <v>Retooling</v>
      </c>
      <c r="L265" s="23">
        <v>44013</v>
      </c>
      <c r="M265" s="23">
        <v>45838</v>
      </c>
      <c r="N265" s="36">
        <v>18.195</v>
      </c>
      <c r="O265" s="20"/>
      <c r="P265" s="20">
        <f t="shared" si="32"/>
        <v>18.195</v>
      </c>
      <c r="Q265" s="20">
        <f>SUMIFS(MasterTable[Estimate of Arrears at end of the current FY 2020/21 (value)],MasterTable[[Project Code and Name ]],PAProjects5[[#This Row],[LINKING_CODE]],MasterTable[Funding Source],"GoU Funded")/10^9</f>
        <v>0</v>
      </c>
      <c r="R265" s="29">
        <f t="shared" si="33"/>
        <v>3.6390000000000002</v>
      </c>
      <c r="S265" s="2"/>
      <c r="T265" s="29">
        <f>PAProjects[[#This Row],[GOU 21/22]]+PAProjects[[#This Row],[DONOR 21/22]]</f>
        <v>3.6390000000000002</v>
      </c>
      <c r="U265" s="29">
        <f t="shared" si="34"/>
        <v>3.6390000000000002</v>
      </c>
      <c r="V265" s="2"/>
      <c r="W265" s="29">
        <f>PAProjects[[#This Row],[GOU 22/23]]+PAProjects[[#This Row],[DONOR 22/23]]</f>
        <v>3.6390000000000002</v>
      </c>
      <c r="X265" s="29">
        <f t="shared" si="35"/>
        <v>3.6390000000000002</v>
      </c>
      <c r="Y265" s="2"/>
      <c r="Z265" s="29">
        <f t="shared" si="37"/>
        <v>3.6390000000000002</v>
      </c>
      <c r="AA265" s="29">
        <f t="shared" si="36"/>
        <v>3.6390000000000002</v>
      </c>
      <c r="AB265" s="2"/>
      <c r="AC265" s="29">
        <f>PAProjects[[#This Row],[GOU 24/25]]+PAProjects[[#This Row],[DONOR 24/25]]</f>
        <v>3.6390000000000002</v>
      </c>
    </row>
    <row r="266" spans="1:29" ht="15" hidden="1" customHeight="1" x14ac:dyDescent="0.25">
      <c r="A266" s="21" t="s">
        <v>228</v>
      </c>
      <c r="B266" s="2" t="s">
        <v>1415</v>
      </c>
      <c r="C266" s="2" t="e">
        <f ca="1">PAProjects5[[#This Row],[LINKING_CODE]]=_xlfn.CONCAT(PAProjects5[[#This Row],[Project Code]]," ",PAProjects5[[#This Row],[Project Name]])</f>
        <v>#NAME?</v>
      </c>
      <c r="D266" s="2" t="e">
        <f>VLOOKUP(PAProjects5[[#This Row],[LINKING_CODE]],MasterTable[[Project Code and Name ]],1,FALSE)</f>
        <v>#N/A</v>
      </c>
      <c r="E266" s="2" t="s">
        <v>527</v>
      </c>
      <c r="F266" s="2" t="s">
        <v>929</v>
      </c>
      <c r="G266" s="2" t="s">
        <v>101</v>
      </c>
      <c r="H266" s="2" t="s">
        <v>1113</v>
      </c>
      <c r="I266" s="2" t="s">
        <v>1186</v>
      </c>
      <c r="J266" s="2" t="s">
        <v>833</v>
      </c>
      <c r="K266" s="2" t="str">
        <f t="shared" si="21"/>
        <v>Retooling</v>
      </c>
      <c r="L266" s="23">
        <v>44013</v>
      </c>
      <c r="M266" s="23">
        <v>44742</v>
      </c>
      <c r="N266" s="30">
        <v>82.164900000000003</v>
      </c>
      <c r="O266" s="20"/>
      <c r="P266" s="20">
        <f t="shared" si="32"/>
        <v>82.164900000000003</v>
      </c>
      <c r="Q266" s="20">
        <f>SUMIFS(MasterTable[Estimate of Arrears at end of the current FY 2020/21 (value)],MasterTable[[Project Code and Name ]],PAProjects5[[#This Row],[LINKING_CODE]],MasterTable[Funding Source],"GoU Funded")/10^9</f>
        <v>0</v>
      </c>
      <c r="R266" s="29">
        <f t="shared" si="33"/>
        <v>16.432980000000001</v>
      </c>
      <c r="S266" s="2"/>
      <c r="T266" s="29">
        <f>PAProjects[[#This Row],[GOU 21/22]]+PAProjects[[#This Row],[DONOR 21/22]]</f>
        <v>16.432980000000001</v>
      </c>
      <c r="U266" s="29">
        <f t="shared" si="34"/>
        <v>16.432980000000001</v>
      </c>
      <c r="V266" s="2"/>
      <c r="W266" s="29">
        <f>PAProjects[[#This Row],[GOU 22/23]]+PAProjects[[#This Row],[DONOR 22/23]]</f>
        <v>16.432980000000001</v>
      </c>
      <c r="X266" s="29">
        <f t="shared" si="35"/>
        <v>16.432980000000001</v>
      </c>
      <c r="Y266" s="2"/>
      <c r="Z266" s="29">
        <f t="shared" si="37"/>
        <v>16.432980000000001</v>
      </c>
      <c r="AA266" s="29">
        <f t="shared" si="36"/>
        <v>16.432980000000001</v>
      </c>
      <c r="AB266" s="2"/>
      <c r="AC266" s="29">
        <f>PAProjects[[#This Row],[GOU 24/25]]+PAProjects[[#This Row],[DONOR 24/25]]</f>
        <v>16.432980000000001</v>
      </c>
    </row>
    <row r="267" spans="1:29" ht="15" hidden="1" customHeight="1" x14ac:dyDescent="0.25">
      <c r="A267" s="21" t="s">
        <v>229</v>
      </c>
      <c r="B267" s="2" t="s">
        <v>1416</v>
      </c>
      <c r="C267" s="2" t="e">
        <f ca="1">PAProjects5[[#This Row],[LINKING_CODE]]=_xlfn.CONCAT(PAProjects5[[#This Row],[Project Code]]," ",PAProjects5[[#This Row],[Project Name]])</f>
        <v>#NAME?</v>
      </c>
      <c r="D267" s="2" t="e">
        <f>VLOOKUP(PAProjects5[[#This Row],[LINKING_CODE]],MasterTable[[Project Code and Name ]],1,FALSE)</f>
        <v>#N/A</v>
      </c>
      <c r="E267" s="2" t="s">
        <v>527</v>
      </c>
      <c r="F267" s="2" t="s">
        <v>929</v>
      </c>
      <c r="G267" s="2" t="s">
        <v>105</v>
      </c>
      <c r="H267" s="2" t="s">
        <v>1113</v>
      </c>
      <c r="I267" s="2" t="s">
        <v>1187</v>
      </c>
      <c r="J267" s="2" t="s">
        <v>839</v>
      </c>
      <c r="K267" s="2" t="str">
        <f t="shared" si="21"/>
        <v>Retooling</v>
      </c>
      <c r="L267" s="23">
        <v>44013</v>
      </c>
      <c r="M267" s="23">
        <v>44742</v>
      </c>
      <c r="N267" s="30">
        <v>1.5</v>
      </c>
      <c r="O267" s="20"/>
      <c r="P267" s="20">
        <f t="shared" si="32"/>
        <v>1.5</v>
      </c>
      <c r="Q267" s="20">
        <f>SUMIFS(MasterTable[Estimate of Arrears at end of the current FY 2020/21 (value)],MasterTable[[Project Code and Name ]],PAProjects5[[#This Row],[LINKING_CODE]],MasterTable[Funding Source],"GoU Funded")/10^9</f>
        <v>0</v>
      </c>
      <c r="R267" s="29">
        <f t="shared" si="33"/>
        <v>0.3</v>
      </c>
      <c r="S267" s="2"/>
      <c r="T267" s="29">
        <f>PAProjects[[#This Row],[GOU 21/22]]+PAProjects[[#This Row],[DONOR 21/22]]</f>
        <v>0.3</v>
      </c>
      <c r="U267" s="29">
        <f t="shared" si="34"/>
        <v>0.3</v>
      </c>
      <c r="V267" s="2"/>
      <c r="W267" s="29">
        <f>PAProjects[[#This Row],[GOU 22/23]]+PAProjects[[#This Row],[DONOR 22/23]]</f>
        <v>0.3</v>
      </c>
      <c r="X267" s="29">
        <f t="shared" si="35"/>
        <v>0.3</v>
      </c>
      <c r="Y267" s="2"/>
      <c r="Z267" s="29">
        <f t="shared" si="37"/>
        <v>0.3</v>
      </c>
      <c r="AA267" s="29">
        <f t="shared" si="36"/>
        <v>0.3</v>
      </c>
      <c r="AB267" s="2"/>
      <c r="AC267" s="29">
        <f>PAProjects[[#This Row],[GOU 24/25]]+PAProjects[[#This Row],[DONOR 24/25]]</f>
        <v>0.3</v>
      </c>
    </row>
    <row r="268" spans="1:29" ht="15" hidden="1" customHeight="1" x14ac:dyDescent="0.25">
      <c r="A268" s="21" t="s">
        <v>230</v>
      </c>
      <c r="B268" s="2" t="s">
        <v>1417</v>
      </c>
      <c r="C268" s="2" t="e">
        <f ca="1">PAProjects5[[#This Row],[LINKING_CODE]]=_xlfn.CONCAT(PAProjects5[[#This Row],[Project Code]]," ",PAProjects5[[#This Row],[Project Name]])</f>
        <v>#NAME?</v>
      </c>
      <c r="D268" s="2" t="e">
        <f>VLOOKUP(PAProjects5[[#This Row],[LINKING_CODE]],MasterTable[[Project Code and Name ]],1,FALSE)</f>
        <v>#N/A</v>
      </c>
      <c r="E268" s="2" t="s">
        <v>527</v>
      </c>
      <c r="F268" s="2" t="s">
        <v>929</v>
      </c>
      <c r="G268" s="2" t="s">
        <v>106</v>
      </c>
      <c r="H268" s="2" t="s">
        <v>1113</v>
      </c>
      <c r="I268" s="2" t="s">
        <v>1188</v>
      </c>
      <c r="J268" s="2" t="s">
        <v>841</v>
      </c>
      <c r="K268" s="2" t="str">
        <f t="shared" si="21"/>
        <v>Retooling</v>
      </c>
      <c r="L268" s="23">
        <v>44013</v>
      </c>
      <c r="M268" s="23">
        <v>44742</v>
      </c>
      <c r="N268" s="30">
        <v>5.1844000000000001</v>
      </c>
      <c r="O268" s="20"/>
      <c r="P268" s="20">
        <f t="shared" si="32"/>
        <v>5.1844000000000001</v>
      </c>
      <c r="Q268" s="20">
        <f>SUMIFS(MasterTable[Estimate of Arrears at end of the current FY 2020/21 (value)],MasterTable[[Project Code and Name ]],PAProjects5[[#This Row],[LINKING_CODE]],MasterTable[Funding Source],"GoU Funded")/10^9</f>
        <v>0</v>
      </c>
      <c r="R268" s="29">
        <f t="shared" si="33"/>
        <v>1.03688</v>
      </c>
      <c r="S268" s="2"/>
      <c r="T268" s="29">
        <f>PAProjects[[#This Row],[GOU 21/22]]+PAProjects[[#This Row],[DONOR 21/22]]</f>
        <v>1.03688</v>
      </c>
      <c r="U268" s="29">
        <f t="shared" si="34"/>
        <v>1.03688</v>
      </c>
      <c r="V268" s="2"/>
      <c r="W268" s="29">
        <f>PAProjects[[#This Row],[GOU 22/23]]+PAProjects[[#This Row],[DONOR 22/23]]</f>
        <v>1.03688</v>
      </c>
      <c r="X268" s="29">
        <f t="shared" si="35"/>
        <v>1.03688</v>
      </c>
      <c r="Y268" s="2"/>
      <c r="Z268" s="29">
        <f t="shared" si="37"/>
        <v>1.03688</v>
      </c>
      <c r="AA268" s="29">
        <f t="shared" si="36"/>
        <v>1.03688</v>
      </c>
      <c r="AB268" s="2"/>
      <c r="AC268" s="29">
        <f>PAProjects[[#This Row],[GOU 24/25]]+PAProjects[[#This Row],[DONOR 24/25]]</f>
        <v>1.03688</v>
      </c>
    </row>
    <row r="269" spans="1:29" ht="15" hidden="1" customHeight="1" x14ac:dyDescent="0.25">
      <c r="A269" s="21" t="s">
        <v>231</v>
      </c>
      <c r="B269" s="2" t="s">
        <v>1418</v>
      </c>
      <c r="C269" s="2" t="e">
        <f ca="1">PAProjects5[[#This Row],[LINKING_CODE]]=_xlfn.CONCAT(PAProjects5[[#This Row],[Project Code]]," ",PAProjects5[[#This Row],[Project Name]])</f>
        <v>#NAME?</v>
      </c>
      <c r="D269" s="2" t="e">
        <f>VLOOKUP(PAProjects5[[#This Row],[LINKING_CODE]],MasterTable[[Project Code and Name ]],1,FALSE)</f>
        <v>#N/A</v>
      </c>
      <c r="E269" s="2" t="s">
        <v>527</v>
      </c>
      <c r="F269" s="2" t="s">
        <v>929</v>
      </c>
      <c r="G269" s="2" t="s">
        <v>109</v>
      </c>
      <c r="H269" s="2" t="s">
        <v>1113</v>
      </c>
      <c r="I269" s="2" t="s">
        <v>1189</v>
      </c>
      <c r="J269" s="2" t="s">
        <v>830</v>
      </c>
      <c r="K269" s="2" t="str">
        <f t="shared" si="21"/>
        <v>Retooling</v>
      </c>
      <c r="L269" s="23">
        <v>44013</v>
      </c>
      <c r="M269" s="23">
        <v>44742</v>
      </c>
      <c r="N269" s="30">
        <v>11.093</v>
      </c>
      <c r="O269" s="20"/>
      <c r="P269" s="20">
        <f t="shared" si="32"/>
        <v>11.093</v>
      </c>
      <c r="Q269" s="20">
        <f>SUMIFS(MasterTable[Estimate of Arrears at end of the current FY 2020/21 (value)],MasterTable[[Project Code and Name ]],PAProjects5[[#This Row],[LINKING_CODE]],MasterTable[Funding Source],"GoU Funded")/10^9</f>
        <v>0</v>
      </c>
      <c r="R269" s="29">
        <f t="shared" si="33"/>
        <v>2.2185999999999999</v>
      </c>
      <c r="S269" s="2"/>
      <c r="T269" s="29">
        <f>PAProjects[[#This Row],[GOU 21/22]]+PAProjects[[#This Row],[DONOR 21/22]]</f>
        <v>2.2185999999999999</v>
      </c>
      <c r="U269" s="29">
        <f t="shared" si="34"/>
        <v>2.2185999999999999</v>
      </c>
      <c r="V269" s="2"/>
      <c r="W269" s="29">
        <f>PAProjects[[#This Row],[GOU 22/23]]+PAProjects[[#This Row],[DONOR 22/23]]</f>
        <v>2.2185999999999999</v>
      </c>
      <c r="X269" s="29">
        <f t="shared" si="35"/>
        <v>2.2185999999999999</v>
      </c>
      <c r="Y269" s="2"/>
      <c r="Z269" s="29">
        <f t="shared" si="37"/>
        <v>2.2185999999999999</v>
      </c>
      <c r="AA269" s="29">
        <f t="shared" si="36"/>
        <v>2.2185999999999999</v>
      </c>
      <c r="AB269" s="2"/>
      <c r="AC269" s="29">
        <f>PAProjects[[#This Row],[GOU 24/25]]+PAProjects[[#This Row],[DONOR 24/25]]</f>
        <v>2.2185999999999999</v>
      </c>
    </row>
    <row r="270" spans="1:29" ht="15" hidden="1" customHeight="1" x14ac:dyDescent="0.25">
      <c r="A270" s="21" t="s">
        <v>232</v>
      </c>
      <c r="B270" s="2" t="s">
        <v>1419</v>
      </c>
      <c r="C270" s="2" t="e">
        <f ca="1">PAProjects5[[#This Row],[LINKING_CODE]]=_xlfn.CONCAT(PAProjects5[[#This Row],[Project Code]]," ",PAProjects5[[#This Row],[Project Name]])</f>
        <v>#NAME?</v>
      </c>
      <c r="D270" s="2" t="e">
        <f>VLOOKUP(PAProjects5[[#This Row],[LINKING_CODE]],MasterTable[[Project Code and Name ]],1,FALSE)</f>
        <v>#N/A</v>
      </c>
      <c r="E270" s="2" t="s">
        <v>527</v>
      </c>
      <c r="F270" s="2" t="s">
        <v>929</v>
      </c>
      <c r="G270" s="2" t="s">
        <v>119</v>
      </c>
      <c r="H270" s="2" t="s">
        <v>1113</v>
      </c>
      <c r="I270" s="2" t="s">
        <v>1190</v>
      </c>
      <c r="J270" s="2" t="s">
        <v>837</v>
      </c>
      <c r="K270" s="2" t="str">
        <f t="shared" si="21"/>
        <v>Retooling</v>
      </c>
      <c r="L270" s="23">
        <v>44013</v>
      </c>
      <c r="M270" s="23">
        <v>44742</v>
      </c>
      <c r="N270" s="30">
        <v>15.55</v>
      </c>
      <c r="O270" s="20"/>
      <c r="P270" s="20">
        <f t="shared" si="32"/>
        <v>15.55</v>
      </c>
      <c r="Q270" s="20">
        <f>SUMIFS(MasterTable[Estimate of Arrears at end of the current FY 2020/21 (value)],MasterTable[[Project Code and Name ]],PAProjects5[[#This Row],[LINKING_CODE]],MasterTable[Funding Source],"GoU Funded")/10^9</f>
        <v>0</v>
      </c>
      <c r="R270" s="29">
        <f t="shared" si="33"/>
        <v>3.1100000000000003</v>
      </c>
      <c r="S270" s="2"/>
      <c r="T270" s="29">
        <f>PAProjects[[#This Row],[GOU 21/22]]+PAProjects[[#This Row],[DONOR 21/22]]</f>
        <v>3.1100000000000003</v>
      </c>
      <c r="U270" s="29">
        <f t="shared" si="34"/>
        <v>3.1100000000000003</v>
      </c>
      <c r="V270" s="2"/>
      <c r="W270" s="29">
        <f>PAProjects[[#This Row],[GOU 22/23]]+PAProjects[[#This Row],[DONOR 22/23]]</f>
        <v>3.1100000000000003</v>
      </c>
      <c r="X270" s="29">
        <f t="shared" si="35"/>
        <v>3.1100000000000003</v>
      </c>
      <c r="Y270" s="2"/>
      <c r="Z270" s="29">
        <f t="shared" si="37"/>
        <v>3.1100000000000003</v>
      </c>
      <c r="AA270" s="29">
        <f t="shared" si="36"/>
        <v>3.1100000000000003</v>
      </c>
      <c r="AB270" s="2"/>
      <c r="AC270" s="29">
        <f>PAProjects[[#This Row],[GOU 24/25]]+PAProjects[[#This Row],[DONOR 24/25]]</f>
        <v>3.1100000000000003</v>
      </c>
    </row>
    <row r="271" spans="1:29" ht="15" hidden="1" customHeight="1" x14ac:dyDescent="0.25">
      <c r="A271" s="21" t="s">
        <v>233</v>
      </c>
      <c r="B271" s="2" t="s">
        <v>1420</v>
      </c>
      <c r="C271" s="2" t="e">
        <f ca="1">PAProjects5[[#This Row],[LINKING_CODE]]=_xlfn.CONCAT(PAProjects5[[#This Row],[Project Code]]," ",PAProjects5[[#This Row],[Project Name]])</f>
        <v>#NAME?</v>
      </c>
      <c r="D271" s="2" t="e">
        <f>VLOOKUP(PAProjects5[[#This Row],[LINKING_CODE]],MasterTable[[Project Code and Name ]],1,FALSE)</f>
        <v>#N/A</v>
      </c>
      <c r="E271" s="2" t="s">
        <v>527</v>
      </c>
      <c r="F271" s="2" t="s">
        <v>929</v>
      </c>
      <c r="G271" s="2" t="s">
        <v>120</v>
      </c>
      <c r="H271" s="2" t="s">
        <v>1113</v>
      </c>
      <c r="I271" s="2" t="s">
        <v>1191</v>
      </c>
      <c r="J271" s="2" t="s">
        <v>842</v>
      </c>
      <c r="K271" s="2" t="str">
        <f t="shared" si="21"/>
        <v>Retooling</v>
      </c>
      <c r="L271" s="23">
        <v>44013</v>
      </c>
      <c r="M271" s="23">
        <v>44742</v>
      </c>
      <c r="N271" s="30">
        <v>36.521328124999997</v>
      </c>
      <c r="O271" s="20"/>
      <c r="P271" s="20">
        <f t="shared" si="32"/>
        <v>36.521328124999997</v>
      </c>
      <c r="Q271" s="20">
        <f>SUMIFS(MasterTable[Estimate of Arrears at end of the current FY 2020/21 (value)],MasterTable[[Project Code and Name ]],PAProjects5[[#This Row],[LINKING_CODE]],MasterTable[Funding Source],"GoU Funded")/10^9</f>
        <v>0</v>
      </c>
      <c r="R271" s="29">
        <f t="shared" si="33"/>
        <v>7.3042656249999993</v>
      </c>
      <c r="S271" s="2"/>
      <c r="T271" s="29">
        <f>PAProjects[[#This Row],[GOU 21/22]]+PAProjects[[#This Row],[DONOR 21/22]]</f>
        <v>7.3042656249999993</v>
      </c>
      <c r="U271" s="29">
        <f t="shared" si="34"/>
        <v>7.3042656249999993</v>
      </c>
      <c r="V271" s="2"/>
      <c r="W271" s="29">
        <f>PAProjects[[#This Row],[GOU 22/23]]+PAProjects[[#This Row],[DONOR 22/23]]</f>
        <v>7.3042656249999993</v>
      </c>
      <c r="X271" s="29">
        <f t="shared" si="35"/>
        <v>7.3042656249999993</v>
      </c>
      <c r="Y271" s="2"/>
      <c r="Z271" s="29">
        <f t="shared" si="37"/>
        <v>7.3042656249999993</v>
      </c>
      <c r="AA271" s="29">
        <f t="shared" si="36"/>
        <v>7.3042656249999993</v>
      </c>
      <c r="AB271" s="2"/>
      <c r="AC271" s="29">
        <f>PAProjects[[#This Row],[GOU 24/25]]+PAProjects[[#This Row],[DONOR 24/25]]</f>
        <v>7.3042656249999993</v>
      </c>
    </row>
    <row r="272" spans="1:29" hidden="1" x14ac:dyDescent="0.25">
      <c r="A272" s="21" t="s">
        <v>234</v>
      </c>
      <c r="B272" s="2" t="s">
        <v>1421</v>
      </c>
      <c r="C272" s="2" t="e">
        <f ca="1">PAProjects5[[#This Row],[LINKING_CODE]]=_xlfn.CONCAT(PAProjects5[[#This Row],[Project Code]]," ",PAProjects5[[#This Row],[Project Name]])</f>
        <v>#NAME?</v>
      </c>
      <c r="D272" s="2" t="e">
        <f>VLOOKUP(PAProjects5[[#This Row],[LINKING_CODE]],MasterTable[[Project Code and Name ]],1,FALSE)</f>
        <v>#N/A</v>
      </c>
      <c r="E272" s="2" t="s">
        <v>527</v>
      </c>
      <c r="F272" s="2" t="s">
        <v>929</v>
      </c>
      <c r="G272" s="2" t="s">
        <v>133</v>
      </c>
      <c r="H272" s="2" t="s">
        <v>1113</v>
      </c>
      <c r="I272" s="2" t="s">
        <v>1192</v>
      </c>
      <c r="J272" s="2" t="s">
        <v>834</v>
      </c>
      <c r="K272" s="2" t="str">
        <f t="shared" si="21"/>
        <v>Retooling</v>
      </c>
      <c r="L272" s="23">
        <v>44013</v>
      </c>
      <c r="M272" s="23">
        <v>44742</v>
      </c>
      <c r="N272" s="30">
        <v>116.292</v>
      </c>
      <c r="O272" s="20"/>
      <c r="P272" s="20">
        <f t="shared" si="32"/>
        <v>116.292</v>
      </c>
      <c r="Q272" s="20">
        <f>SUMIFS(MasterTable[Estimate of Arrears at end of the current FY 2020/21 (value)],MasterTable[[Project Code and Name ]],PAProjects5[[#This Row],[LINKING_CODE]],MasterTable[Funding Source],"GoU Funded")/10^9</f>
        <v>0</v>
      </c>
      <c r="R272" s="29">
        <f t="shared" si="33"/>
        <v>23.258400000000002</v>
      </c>
      <c r="S272" s="2"/>
      <c r="T272" s="29">
        <f>PAProjects[[#This Row],[GOU 21/22]]+PAProjects[[#This Row],[DONOR 21/22]]</f>
        <v>23.258400000000002</v>
      </c>
      <c r="U272" s="29">
        <f t="shared" si="34"/>
        <v>23.258400000000002</v>
      </c>
      <c r="V272" s="2"/>
      <c r="W272" s="29">
        <f>PAProjects[[#This Row],[GOU 22/23]]+PAProjects[[#This Row],[DONOR 22/23]]</f>
        <v>23.258400000000002</v>
      </c>
      <c r="X272" s="29">
        <f t="shared" si="35"/>
        <v>23.258400000000002</v>
      </c>
      <c r="Y272" s="2"/>
      <c r="Z272" s="29">
        <f t="shared" si="37"/>
        <v>23.258400000000002</v>
      </c>
      <c r="AA272" s="29">
        <f t="shared" si="36"/>
        <v>23.258400000000002</v>
      </c>
      <c r="AB272" s="2"/>
      <c r="AC272" s="29">
        <f>PAProjects[[#This Row],[GOU 24/25]]+PAProjects[[#This Row],[DONOR 24/25]]</f>
        <v>23.258400000000002</v>
      </c>
    </row>
    <row r="273" spans="1:29" hidden="1" x14ac:dyDescent="0.25">
      <c r="A273" s="21" t="s">
        <v>235</v>
      </c>
      <c r="B273" s="2" t="s">
        <v>1422</v>
      </c>
      <c r="C273" s="2" t="e">
        <f ca="1">PAProjects5[[#This Row],[LINKING_CODE]]=_xlfn.CONCAT(PAProjects5[[#This Row],[Project Code]]," ",PAProjects5[[#This Row],[Project Name]])</f>
        <v>#NAME?</v>
      </c>
      <c r="D273" s="2" t="e">
        <f>VLOOKUP(PAProjects5[[#This Row],[LINKING_CODE]],MasterTable[[Project Code and Name ]],1,FALSE)</f>
        <v>#N/A</v>
      </c>
      <c r="E273" s="2" t="s">
        <v>527</v>
      </c>
      <c r="F273" s="2" t="s">
        <v>929</v>
      </c>
      <c r="G273" s="2" t="s">
        <v>144</v>
      </c>
      <c r="H273" s="2" t="s">
        <v>1113</v>
      </c>
      <c r="I273" s="2" t="s">
        <v>1193</v>
      </c>
      <c r="J273" s="2" t="s">
        <v>840</v>
      </c>
      <c r="K273" s="2" t="str">
        <f t="shared" si="21"/>
        <v>Retooling</v>
      </c>
      <c r="L273" s="23">
        <v>44013</v>
      </c>
      <c r="M273" s="23">
        <v>44742</v>
      </c>
      <c r="N273" s="30">
        <v>2057</v>
      </c>
      <c r="O273" s="20"/>
      <c r="P273" s="20">
        <f t="shared" si="32"/>
        <v>2057</v>
      </c>
      <c r="Q273" s="20">
        <f>SUMIFS(MasterTable[Estimate of Arrears at end of the current FY 2020/21 (value)],MasterTable[[Project Code and Name ]],PAProjects5[[#This Row],[LINKING_CODE]],MasterTable[Funding Source],"GoU Funded")/10^9</f>
        <v>0</v>
      </c>
      <c r="R273" s="29">
        <f t="shared" si="33"/>
        <v>411.4</v>
      </c>
      <c r="S273" s="2"/>
      <c r="T273" s="29">
        <f>PAProjects[[#This Row],[GOU 21/22]]+PAProjects[[#This Row],[DONOR 21/22]]</f>
        <v>411.4</v>
      </c>
      <c r="U273" s="29">
        <f t="shared" si="34"/>
        <v>411.4</v>
      </c>
      <c r="V273" s="2"/>
      <c r="W273" s="29">
        <f>PAProjects[[#This Row],[GOU 22/23]]+PAProjects[[#This Row],[DONOR 22/23]]</f>
        <v>411.4</v>
      </c>
      <c r="X273" s="29">
        <f t="shared" si="35"/>
        <v>411.4</v>
      </c>
      <c r="Y273" s="2"/>
      <c r="Z273" s="29">
        <f t="shared" si="37"/>
        <v>411.4</v>
      </c>
      <c r="AA273" s="29">
        <f t="shared" si="36"/>
        <v>411.4</v>
      </c>
      <c r="AB273" s="2"/>
      <c r="AC273" s="29">
        <f>PAProjects[[#This Row],[GOU 24/25]]+PAProjects[[#This Row],[DONOR 24/25]]</f>
        <v>411.4</v>
      </c>
    </row>
    <row r="274" spans="1:29" hidden="1" x14ac:dyDescent="0.25">
      <c r="A274" s="21" t="s">
        <v>236</v>
      </c>
      <c r="B274" s="2" t="s">
        <v>1423</v>
      </c>
      <c r="C274" s="2" t="e">
        <f ca="1">PAProjects5[[#This Row],[LINKING_CODE]]=_xlfn.CONCAT(PAProjects5[[#This Row],[Project Code]]," ",PAProjects5[[#This Row],[Project Name]])</f>
        <v>#NAME?</v>
      </c>
      <c r="D274" s="2" t="e">
        <f>VLOOKUP(PAProjects5[[#This Row],[LINKING_CODE]],MasterTable[[Project Code and Name ]],1,FALSE)</f>
        <v>#N/A</v>
      </c>
      <c r="E274" s="2" t="s">
        <v>527</v>
      </c>
      <c r="F274" s="2" t="s">
        <v>929</v>
      </c>
      <c r="G274" s="2" t="s">
        <v>145</v>
      </c>
      <c r="H274" s="2" t="s">
        <v>1113</v>
      </c>
      <c r="I274" s="2" t="s">
        <v>1194</v>
      </c>
      <c r="J274" s="2" t="s">
        <v>832</v>
      </c>
      <c r="K274" s="2" t="str">
        <f t="shared" si="21"/>
        <v>Retooling</v>
      </c>
      <c r="L274" s="23">
        <v>44013</v>
      </c>
      <c r="M274" s="23">
        <v>44742</v>
      </c>
      <c r="N274" s="30">
        <v>50.304650000000002</v>
      </c>
      <c r="O274" s="20"/>
      <c r="P274" s="20">
        <f t="shared" si="32"/>
        <v>50.304650000000002</v>
      </c>
      <c r="Q274" s="20">
        <f>SUMIFS(MasterTable[Estimate of Arrears at end of the current FY 2020/21 (value)],MasterTable[[Project Code and Name ]],PAProjects5[[#This Row],[LINKING_CODE]],MasterTable[Funding Source],"GoU Funded")/10^9</f>
        <v>0</v>
      </c>
      <c r="R274" s="29">
        <f t="shared" si="33"/>
        <v>10.060930000000001</v>
      </c>
      <c r="S274" s="2"/>
      <c r="T274" s="29">
        <f>PAProjects[[#This Row],[GOU 21/22]]+PAProjects[[#This Row],[DONOR 21/22]]</f>
        <v>10.060930000000001</v>
      </c>
      <c r="U274" s="29">
        <f t="shared" si="34"/>
        <v>10.060930000000001</v>
      </c>
      <c r="V274" s="2"/>
      <c r="W274" s="29">
        <f>PAProjects[[#This Row],[GOU 22/23]]+PAProjects[[#This Row],[DONOR 22/23]]</f>
        <v>10.060930000000001</v>
      </c>
      <c r="X274" s="29">
        <f t="shared" si="35"/>
        <v>10.060930000000001</v>
      </c>
      <c r="Y274" s="2"/>
      <c r="Z274" s="29">
        <f t="shared" si="37"/>
        <v>10.060930000000001</v>
      </c>
      <c r="AA274" s="29">
        <f t="shared" si="36"/>
        <v>10.060930000000001</v>
      </c>
      <c r="AB274" s="2"/>
      <c r="AC274" s="29">
        <f>PAProjects[[#This Row],[GOU 24/25]]+PAProjects[[#This Row],[DONOR 24/25]]</f>
        <v>10.060930000000001</v>
      </c>
    </row>
    <row r="275" spans="1:29" hidden="1" x14ac:dyDescent="0.25">
      <c r="A275" s="21" t="s">
        <v>237</v>
      </c>
      <c r="B275" s="2" t="s">
        <v>1424</v>
      </c>
      <c r="C275" s="2" t="e">
        <f ca="1">PAProjects5[[#This Row],[LINKING_CODE]]=_xlfn.CONCAT(PAProjects5[[#This Row],[Project Code]]," ",PAProjects5[[#This Row],[Project Name]])</f>
        <v>#NAME?</v>
      </c>
      <c r="D275" s="2" t="e">
        <f>VLOOKUP(PAProjects5[[#This Row],[LINKING_CODE]],MasterTable[[Project Code and Name ]],1,FALSE)</f>
        <v>#N/A</v>
      </c>
      <c r="E275" s="2" t="s">
        <v>527</v>
      </c>
      <c r="F275" s="2" t="s">
        <v>929</v>
      </c>
      <c r="G275" s="2" t="s">
        <v>148</v>
      </c>
      <c r="H275" s="2" t="s">
        <v>1113</v>
      </c>
      <c r="I275" s="2" t="s">
        <v>1195</v>
      </c>
      <c r="J275" s="2" t="s">
        <v>835</v>
      </c>
      <c r="K275" s="2" t="str">
        <f t="shared" si="21"/>
        <v>Retooling</v>
      </c>
      <c r="L275" s="23">
        <v>44013</v>
      </c>
      <c r="M275" s="23">
        <v>44742</v>
      </c>
      <c r="N275" s="30">
        <v>6.43</v>
      </c>
      <c r="O275" s="20"/>
      <c r="P275" s="20">
        <f t="shared" si="32"/>
        <v>6.43</v>
      </c>
      <c r="Q275" s="20">
        <f>SUMIFS(MasterTable[Estimate of Arrears at end of the current FY 2020/21 (value)],MasterTable[[Project Code and Name ]],PAProjects5[[#This Row],[LINKING_CODE]],MasterTable[Funding Source],"GoU Funded")/10^9</f>
        <v>0</v>
      </c>
      <c r="R275" s="29">
        <f t="shared" si="33"/>
        <v>1.286</v>
      </c>
      <c r="S275" s="2"/>
      <c r="T275" s="29">
        <f>PAProjects[[#This Row],[GOU 21/22]]+PAProjects[[#This Row],[DONOR 21/22]]</f>
        <v>1.286</v>
      </c>
      <c r="U275" s="29">
        <f t="shared" si="34"/>
        <v>1.286</v>
      </c>
      <c r="V275" s="2"/>
      <c r="W275" s="29">
        <f>PAProjects[[#This Row],[GOU 22/23]]+PAProjects[[#This Row],[DONOR 22/23]]</f>
        <v>1.286</v>
      </c>
      <c r="X275" s="29">
        <f t="shared" si="35"/>
        <v>1.286</v>
      </c>
      <c r="Y275" s="2"/>
      <c r="Z275" s="29">
        <f t="shared" si="37"/>
        <v>1.286</v>
      </c>
      <c r="AA275" s="29">
        <f t="shared" si="36"/>
        <v>1.286</v>
      </c>
      <c r="AB275" s="2"/>
      <c r="AC275" s="29">
        <f>PAProjects[[#This Row],[GOU 24/25]]+PAProjects[[#This Row],[DONOR 24/25]]</f>
        <v>1.286</v>
      </c>
    </row>
    <row r="276" spans="1:29" hidden="1" x14ac:dyDescent="0.25">
      <c r="A276" s="21" t="s">
        <v>238</v>
      </c>
      <c r="B276" s="2" t="s">
        <v>1425</v>
      </c>
      <c r="C276" s="2" t="e">
        <f ca="1">PAProjects5[[#This Row],[LINKING_CODE]]=_xlfn.CONCAT(PAProjects5[[#This Row],[Project Code]]," ",PAProjects5[[#This Row],[Project Name]])</f>
        <v>#NAME?</v>
      </c>
      <c r="D276" s="2" t="e">
        <f>VLOOKUP(PAProjects5[[#This Row],[LINKING_CODE]],MasterTable[[Project Code and Name ]],1,FALSE)</f>
        <v>#N/A</v>
      </c>
      <c r="E276" s="2" t="s">
        <v>527</v>
      </c>
      <c r="F276" s="2" t="s">
        <v>929</v>
      </c>
      <c r="G276" s="2" t="s">
        <v>305</v>
      </c>
      <c r="H276" s="2" t="s">
        <v>1113</v>
      </c>
      <c r="I276" s="2" t="s">
        <v>1196</v>
      </c>
      <c r="J276" s="2" t="s">
        <v>1197</v>
      </c>
      <c r="K276" s="2" t="str">
        <f t="shared" ref="K276:K298" si="38">IF(ISERROR(SEARCH("Retooling",J276))=FALSE,"Retooling","")</f>
        <v>Retooling</v>
      </c>
      <c r="L276" s="23">
        <v>44013</v>
      </c>
      <c r="M276" s="23">
        <v>44742</v>
      </c>
      <c r="N276" s="30">
        <v>86.863699999999994</v>
      </c>
      <c r="O276" s="20"/>
      <c r="P276" s="20">
        <f t="shared" si="32"/>
        <v>86.863699999999994</v>
      </c>
      <c r="Q276" s="20">
        <f>SUMIFS(MasterTable[Estimate of Arrears at end of the current FY 2020/21 (value)],MasterTable[[Project Code and Name ]],PAProjects5[[#This Row],[LINKING_CODE]],MasterTable[Funding Source],"GoU Funded")/10^9</f>
        <v>0</v>
      </c>
      <c r="R276" s="29">
        <f t="shared" si="33"/>
        <v>17.37274</v>
      </c>
      <c r="S276" s="2"/>
      <c r="T276" s="29">
        <f>PAProjects[[#This Row],[GOU 21/22]]+PAProjects[[#This Row],[DONOR 21/22]]</f>
        <v>17.37274</v>
      </c>
      <c r="U276" s="29">
        <f t="shared" si="34"/>
        <v>17.37274</v>
      </c>
      <c r="V276" s="2"/>
      <c r="W276" s="29">
        <f>PAProjects[[#This Row],[GOU 22/23]]+PAProjects[[#This Row],[DONOR 22/23]]</f>
        <v>17.37274</v>
      </c>
      <c r="X276" s="29">
        <f t="shared" si="35"/>
        <v>17.37274</v>
      </c>
      <c r="Y276" s="2"/>
      <c r="Z276" s="29">
        <f t="shared" si="37"/>
        <v>17.37274</v>
      </c>
      <c r="AA276" s="29">
        <f t="shared" si="36"/>
        <v>17.37274</v>
      </c>
      <c r="AB276" s="2"/>
      <c r="AC276" s="29">
        <f>PAProjects[[#This Row],[GOU 24/25]]+PAProjects[[#This Row],[DONOR 24/25]]</f>
        <v>17.37274</v>
      </c>
    </row>
    <row r="277" spans="1:29" hidden="1" x14ac:dyDescent="0.25">
      <c r="A277" s="21" t="s">
        <v>239</v>
      </c>
      <c r="B277" s="2" t="s">
        <v>1426</v>
      </c>
      <c r="C277" s="2" t="e">
        <f ca="1">PAProjects5[[#This Row],[LINKING_CODE]]=_xlfn.CONCAT(PAProjects5[[#This Row],[Project Code]]," ",PAProjects5[[#This Row],[Project Name]])</f>
        <v>#NAME?</v>
      </c>
      <c r="D277" s="2" t="e">
        <f>VLOOKUP(PAProjects5[[#This Row],[LINKING_CODE]],MasterTable[[Project Code and Name ]],1,FALSE)</f>
        <v>#N/A</v>
      </c>
      <c r="E277" s="2" t="s">
        <v>527</v>
      </c>
      <c r="F277" s="2" t="s">
        <v>929</v>
      </c>
      <c r="G277" s="2" t="s">
        <v>309</v>
      </c>
      <c r="H277" s="2" t="s">
        <v>1113</v>
      </c>
      <c r="I277" s="2" t="s">
        <v>1198</v>
      </c>
      <c r="J277" s="2" t="s">
        <v>838</v>
      </c>
      <c r="K277" s="2" t="str">
        <f t="shared" si="38"/>
        <v>Retooling</v>
      </c>
      <c r="L277" s="23">
        <v>44013</v>
      </c>
      <c r="M277" s="23">
        <v>44742</v>
      </c>
      <c r="N277" s="30">
        <v>186.5659</v>
      </c>
      <c r="O277" s="20"/>
      <c r="P277" s="20">
        <f t="shared" si="32"/>
        <v>186.5659</v>
      </c>
      <c r="Q277" s="20">
        <f>SUMIFS(MasterTable[Estimate of Arrears at end of the current FY 2020/21 (value)],MasterTable[[Project Code and Name ]],PAProjects5[[#This Row],[LINKING_CODE]],MasterTable[Funding Source],"GoU Funded")/10^9</f>
        <v>0</v>
      </c>
      <c r="R277" s="29">
        <f t="shared" si="33"/>
        <v>37.313180000000003</v>
      </c>
      <c r="S277" s="2"/>
      <c r="T277" s="29">
        <f>PAProjects[[#This Row],[GOU 21/22]]+PAProjects[[#This Row],[DONOR 21/22]]</f>
        <v>37.313180000000003</v>
      </c>
      <c r="U277" s="29">
        <f t="shared" si="34"/>
        <v>37.313180000000003</v>
      </c>
      <c r="V277" s="2"/>
      <c r="W277" s="29">
        <f>PAProjects[[#This Row],[GOU 22/23]]+PAProjects[[#This Row],[DONOR 22/23]]</f>
        <v>37.313180000000003</v>
      </c>
      <c r="X277" s="29">
        <f t="shared" si="35"/>
        <v>37.313180000000003</v>
      </c>
      <c r="Y277" s="2"/>
      <c r="Z277" s="29">
        <f t="shared" si="37"/>
        <v>37.313180000000003</v>
      </c>
      <c r="AA277" s="29">
        <f t="shared" si="36"/>
        <v>37.313180000000003</v>
      </c>
      <c r="AB277" s="2"/>
      <c r="AC277" s="29">
        <f>PAProjects[[#This Row],[GOU 24/25]]+PAProjects[[#This Row],[DONOR 24/25]]</f>
        <v>37.313180000000003</v>
      </c>
    </row>
    <row r="278" spans="1:29" hidden="1" x14ac:dyDescent="0.25">
      <c r="A278" s="21" t="s">
        <v>241</v>
      </c>
      <c r="B278" s="2" t="s">
        <v>1427</v>
      </c>
      <c r="C278" s="2" t="e">
        <f ca="1">PAProjects5[[#This Row],[LINKING_CODE]]=_xlfn.CONCAT(PAProjects5[[#This Row],[Project Code]]," ",PAProjects5[[#This Row],[Project Name]])</f>
        <v>#NAME?</v>
      </c>
      <c r="D278" s="2" t="e">
        <f>VLOOKUP(PAProjects5[[#This Row],[LINKING_CODE]],MasterTable[[Project Code and Name ]],1,FALSE)</f>
        <v>#N/A</v>
      </c>
      <c r="E278" s="2" t="s">
        <v>529</v>
      </c>
      <c r="F278" s="2" t="s">
        <v>934</v>
      </c>
      <c r="G278" s="2" t="s">
        <v>33</v>
      </c>
      <c r="H278" s="2" t="s">
        <v>1113</v>
      </c>
      <c r="I278" s="2" t="s">
        <v>1200</v>
      </c>
      <c r="J278" s="2" t="s">
        <v>1201</v>
      </c>
      <c r="K278" s="2" t="str">
        <f t="shared" si="38"/>
        <v>Retooling</v>
      </c>
      <c r="L278" s="23">
        <v>44013</v>
      </c>
      <c r="M278" s="23">
        <v>44742</v>
      </c>
      <c r="N278" s="30">
        <v>24.565000000000001</v>
      </c>
      <c r="O278" s="20"/>
      <c r="P278" s="20">
        <f t="shared" si="32"/>
        <v>24.565000000000001</v>
      </c>
      <c r="Q278" s="20">
        <f>SUMIFS(MasterTable[Estimate of Arrears at end of the current FY 2020/21 (value)],MasterTable[[Project Code and Name ]],PAProjects5[[#This Row],[LINKING_CODE]],MasterTable[Funding Source],"GoU Funded")/10^9</f>
        <v>0</v>
      </c>
      <c r="R278" s="29">
        <f t="shared" si="33"/>
        <v>4.9130000000000003</v>
      </c>
      <c r="S278" s="2"/>
      <c r="T278" s="29">
        <f>PAProjects[[#This Row],[GOU 21/22]]+PAProjects[[#This Row],[DONOR 21/22]]</f>
        <v>4.9130000000000003</v>
      </c>
      <c r="U278" s="29">
        <f t="shared" si="34"/>
        <v>4.9130000000000003</v>
      </c>
      <c r="V278" s="2"/>
      <c r="W278" s="29">
        <f>PAProjects[[#This Row],[GOU 22/23]]+PAProjects[[#This Row],[DONOR 22/23]]</f>
        <v>4.9130000000000003</v>
      </c>
      <c r="X278" s="29">
        <f t="shared" si="35"/>
        <v>4.9130000000000003</v>
      </c>
      <c r="Y278" s="2"/>
      <c r="Z278" s="29">
        <f t="shared" si="37"/>
        <v>4.9130000000000003</v>
      </c>
      <c r="AA278" s="29">
        <f t="shared" si="36"/>
        <v>4.9130000000000003</v>
      </c>
      <c r="AB278" s="2"/>
      <c r="AC278" s="29">
        <f>PAProjects[[#This Row],[GOU 24/25]]+PAProjects[[#This Row],[DONOR 24/25]]</f>
        <v>4.9130000000000003</v>
      </c>
    </row>
    <row r="279" spans="1:29" hidden="1" x14ac:dyDescent="0.25">
      <c r="A279" s="21" t="s">
        <v>242</v>
      </c>
      <c r="B279" s="2" t="s">
        <v>1428</v>
      </c>
      <c r="C279" s="2" t="e">
        <f ca="1">PAProjects5[[#This Row],[LINKING_CODE]]=_xlfn.CONCAT(PAProjects5[[#This Row],[Project Code]]," ",PAProjects5[[#This Row],[Project Name]])</f>
        <v>#NAME?</v>
      </c>
      <c r="D279" s="2" t="e">
        <f>VLOOKUP(PAProjects5[[#This Row],[LINKING_CODE]],MasterTable[[Project Code and Name ]],1,FALSE)</f>
        <v>#N/A</v>
      </c>
      <c r="E279" s="2" t="s">
        <v>529</v>
      </c>
      <c r="F279" s="2" t="s">
        <v>934</v>
      </c>
      <c r="G279" s="2" t="s">
        <v>70</v>
      </c>
      <c r="H279" s="2" t="s">
        <v>1113</v>
      </c>
      <c r="I279" s="2" t="s">
        <v>1202</v>
      </c>
      <c r="J279" s="2" t="s">
        <v>848</v>
      </c>
      <c r="K279" s="2" t="str">
        <f t="shared" si="38"/>
        <v>Retooling</v>
      </c>
      <c r="L279" s="23">
        <v>44013</v>
      </c>
      <c r="M279" s="23">
        <v>44742</v>
      </c>
      <c r="N279" s="30">
        <v>26.838999999999999</v>
      </c>
      <c r="O279" s="20"/>
      <c r="P279" s="20">
        <f t="shared" si="32"/>
        <v>26.838999999999999</v>
      </c>
      <c r="Q279" s="20">
        <f>SUMIFS(MasterTable[Estimate of Arrears at end of the current FY 2020/21 (value)],MasterTable[[Project Code and Name ]],PAProjects5[[#This Row],[LINKING_CODE]],MasterTable[Funding Source],"GoU Funded")/10^9</f>
        <v>0</v>
      </c>
      <c r="R279" s="29">
        <f t="shared" si="33"/>
        <v>5.3677999999999999</v>
      </c>
      <c r="S279" s="2"/>
      <c r="T279" s="29">
        <f>PAProjects[[#This Row],[GOU 21/22]]+PAProjects[[#This Row],[DONOR 21/22]]</f>
        <v>5.3677999999999999</v>
      </c>
      <c r="U279" s="29">
        <f t="shared" si="34"/>
        <v>5.3677999999999999</v>
      </c>
      <c r="V279" s="2"/>
      <c r="W279" s="29">
        <f>PAProjects[[#This Row],[GOU 22/23]]+PAProjects[[#This Row],[DONOR 22/23]]</f>
        <v>5.3677999999999999</v>
      </c>
      <c r="X279" s="29">
        <f t="shared" si="35"/>
        <v>5.3677999999999999</v>
      </c>
      <c r="Y279" s="2"/>
      <c r="Z279" s="29">
        <f t="shared" si="37"/>
        <v>5.3677999999999999</v>
      </c>
      <c r="AA279" s="29">
        <f t="shared" si="36"/>
        <v>5.3677999999999999</v>
      </c>
      <c r="AB279" s="2"/>
      <c r="AC279" s="29">
        <f>PAProjects[[#This Row],[GOU 24/25]]+PAProjects[[#This Row],[DONOR 24/25]]</f>
        <v>5.3677999999999999</v>
      </c>
    </row>
    <row r="280" spans="1:29" hidden="1" x14ac:dyDescent="0.25">
      <c r="A280" s="21" t="s">
        <v>243</v>
      </c>
      <c r="B280" s="2" t="s">
        <v>1429</v>
      </c>
      <c r="C280" s="2" t="e">
        <f ca="1">PAProjects5[[#This Row],[LINKING_CODE]]=_xlfn.CONCAT(PAProjects5[[#This Row],[Project Code]]," ",PAProjects5[[#This Row],[Project Name]])</f>
        <v>#NAME?</v>
      </c>
      <c r="D280" s="2" t="e">
        <f>VLOOKUP(PAProjects5[[#This Row],[LINKING_CODE]],MasterTable[[Project Code and Name ]],1,FALSE)</f>
        <v>#N/A</v>
      </c>
      <c r="E280" s="2" t="s">
        <v>529</v>
      </c>
      <c r="F280" s="2" t="s">
        <v>934</v>
      </c>
      <c r="G280" s="2" t="s">
        <v>108</v>
      </c>
      <c r="H280" s="2" t="s">
        <v>1113</v>
      </c>
      <c r="I280" s="2" t="s">
        <v>1203</v>
      </c>
      <c r="J280" s="2" t="s">
        <v>845</v>
      </c>
      <c r="K280" s="2" t="str">
        <f t="shared" si="38"/>
        <v>Retooling</v>
      </c>
      <c r="L280" s="23">
        <v>44013</v>
      </c>
      <c r="M280" s="23">
        <v>44742</v>
      </c>
      <c r="N280" s="30">
        <v>29.25</v>
      </c>
      <c r="O280" s="20"/>
      <c r="P280" s="20">
        <f t="shared" si="32"/>
        <v>29.25</v>
      </c>
      <c r="Q280" s="20">
        <f>SUMIFS(MasterTable[Estimate of Arrears at end of the current FY 2020/21 (value)],MasterTable[[Project Code and Name ]],PAProjects5[[#This Row],[LINKING_CODE]],MasterTable[Funding Source],"GoU Funded")/10^9</f>
        <v>0</v>
      </c>
      <c r="R280" s="29">
        <f t="shared" si="33"/>
        <v>5.85</v>
      </c>
      <c r="S280" s="2"/>
      <c r="T280" s="29">
        <f>PAProjects[[#This Row],[GOU 21/22]]+PAProjects[[#This Row],[DONOR 21/22]]</f>
        <v>5.85</v>
      </c>
      <c r="U280" s="29">
        <f t="shared" si="34"/>
        <v>5.85</v>
      </c>
      <c r="V280" s="2"/>
      <c r="W280" s="29">
        <f>PAProjects[[#This Row],[GOU 22/23]]+PAProjects[[#This Row],[DONOR 22/23]]</f>
        <v>5.85</v>
      </c>
      <c r="X280" s="29">
        <f t="shared" si="35"/>
        <v>5.85</v>
      </c>
      <c r="Y280" s="2"/>
      <c r="Z280" s="29">
        <f t="shared" si="37"/>
        <v>5.85</v>
      </c>
      <c r="AA280" s="29">
        <f t="shared" si="36"/>
        <v>5.85</v>
      </c>
      <c r="AB280" s="2"/>
      <c r="AC280" s="29">
        <f>PAProjects[[#This Row],[GOU 24/25]]+PAProjects[[#This Row],[DONOR 24/25]]</f>
        <v>5.85</v>
      </c>
    </row>
    <row r="281" spans="1:29" hidden="1" x14ac:dyDescent="0.25">
      <c r="A281" s="21" t="s">
        <v>245</v>
      </c>
      <c r="B281" s="2" t="s">
        <v>1430</v>
      </c>
      <c r="C281" s="2" t="e">
        <f ca="1">PAProjects5[[#This Row],[LINKING_CODE]]=_xlfn.CONCAT(PAProjects5[[#This Row],[Project Code]]," ",PAProjects5[[#This Row],[Project Name]])</f>
        <v>#NAME?</v>
      </c>
      <c r="D281" s="2" t="e">
        <f>VLOOKUP(PAProjects5[[#This Row],[LINKING_CODE]],MasterTable[[Project Code and Name ]],1,FALSE)</f>
        <v>#N/A</v>
      </c>
      <c r="E281" s="2" t="s">
        <v>529</v>
      </c>
      <c r="F281" s="2" t="s">
        <v>934</v>
      </c>
      <c r="G281" s="2" t="s">
        <v>146</v>
      </c>
      <c r="H281" s="2" t="s">
        <v>1113</v>
      </c>
      <c r="I281" s="2" t="s">
        <v>1204</v>
      </c>
      <c r="J281" s="2" t="s">
        <v>847</v>
      </c>
      <c r="K281" s="2" t="str">
        <f t="shared" si="38"/>
        <v>Retooling</v>
      </c>
      <c r="L281" s="23">
        <v>44013</v>
      </c>
      <c r="M281" s="23">
        <v>44742</v>
      </c>
      <c r="N281" s="20">
        <v>131</v>
      </c>
      <c r="O281" s="20"/>
      <c r="P281" s="20">
        <f t="shared" si="32"/>
        <v>131</v>
      </c>
      <c r="Q281" s="20">
        <f>SUMIFS(MasterTable[Estimate of Arrears at end of the current FY 2020/21 (value)],MasterTable[[Project Code and Name ]],PAProjects5[[#This Row],[LINKING_CODE]],MasterTable[Funding Source],"GoU Funded")/10^9</f>
        <v>0</v>
      </c>
      <c r="R281" s="29">
        <f t="shared" si="33"/>
        <v>26.2</v>
      </c>
      <c r="S281" s="2"/>
      <c r="T281" s="29">
        <f>PAProjects[[#This Row],[GOU 21/22]]+PAProjects[[#This Row],[DONOR 21/22]]</f>
        <v>26.2</v>
      </c>
      <c r="U281" s="29">
        <f t="shared" si="34"/>
        <v>26.2</v>
      </c>
      <c r="V281" s="2"/>
      <c r="W281" s="29">
        <f>PAProjects[[#This Row],[GOU 22/23]]+PAProjects[[#This Row],[DONOR 22/23]]</f>
        <v>26.2</v>
      </c>
      <c r="X281" s="29">
        <f t="shared" si="35"/>
        <v>26.2</v>
      </c>
      <c r="Y281" s="2"/>
      <c r="Z281" s="29">
        <f t="shared" si="37"/>
        <v>26.2</v>
      </c>
      <c r="AA281" s="29">
        <f t="shared" si="36"/>
        <v>26.2</v>
      </c>
      <c r="AB281" s="2"/>
      <c r="AC281" s="29">
        <f>PAProjects[[#This Row],[GOU 24/25]]+PAProjects[[#This Row],[DONOR 24/25]]</f>
        <v>26.2</v>
      </c>
    </row>
    <row r="282" spans="1:29" hidden="1" x14ac:dyDescent="0.25">
      <c r="A282" s="21" t="s">
        <v>246</v>
      </c>
      <c r="B282" s="2" t="s">
        <v>1431</v>
      </c>
      <c r="C282" s="2" t="e">
        <f ca="1">PAProjects5[[#This Row],[LINKING_CODE]]=_xlfn.CONCAT(PAProjects5[[#This Row],[Project Code]]," ",PAProjects5[[#This Row],[Project Name]])</f>
        <v>#NAME?</v>
      </c>
      <c r="D282" s="2" t="e">
        <f>VLOOKUP(PAProjects5[[#This Row],[LINKING_CODE]],MasterTable[[Project Code and Name ]],1,FALSE)</f>
        <v>#N/A</v>
      </c>
      <c r="E282" s="2" t="s">
        <v>531</v>
      </c>
      <c r="F282" s="2" t="s">
        <v>940</v>
      </c>
      <c r="G282" s="2" t="s">
        <v>941</v>
      </c>
      <c r="H282" s="2" t="s">
        <v>1113</v>
      </c>
      <c r="I282" s="2" t="s">
        <v>852</v>
      </c>
      <c r="J282" s="2" t="s">
        <v>1205</v>
      </c>
      <c r="K282" s="2" t="s">
        <v>1509</v>
      </c>
      <c r="L282" s="26">
        <v>42186</v>
      </c>
      <c r="M282" s="23">
        <v>44742</v>
      </c>
      <c r="N282" s="24"/>
      <c r="O282" s="25">
        <v>6.26</v>
      </c>
      <c r="P282" s="20">
        <f t="shared" si="32"/>
        <v>6.26</v>
      </c>
      <c r="Q282" s="20">
        <f>SUMIFS(MasterTable[Estimate of Arrears at end of the current FY 2020/21 (value)],MasterTable[[Project Code and Name ]],PAProjects5[[#This Row],[LINKING_CODE]],MasterTable[Funding Source],"GoU Funded")/10^9</f>
        <v>0</v>
      </c>
      <c r="R282" s="2"/>
      <c r="S282" s="2">
        <v>1.57</v>
      </c>
      <c r="T282" s="49">
        <f>PAProjects[[#This Row],[GOU 21/22]]+PAProjects[[#This Row],[DONOR 21/22]]</f>
        <v>1.57</v>
      </c>
      <c r="U282" s="2"/>
      <c r="V282" s="2">
        <v>1.57</v>
      </c>
      <c r="W282" s="49">
        <f>PAProjects[[#This Row],[GOU 22/23]]+PAProjects[[#This Row],[DONOR 22/23]]</f>
        <v>1.57</v>
      </c>
      <c r="X282" s="2"/>
      <c r="Y282" s="2"/>
      <c r="Z282" s="2"/>
      <c r="AA282" s="2"/>
      <c r="AB282" s="2"/>
      <c r="AC282" s="49">
        <f>PAProjects[[#This Row],[GOU 24/25]]+PAProjects[[#This Row],[DONOR 24/25]]</f>
        <v>0</v>
      </c>
    </row>
    <row r="283" spans="1:29" hidden="1" x14ac:dyDescent="0.25">
      <c r="A283" s="21" t="s">
        <v>247</v>
      </c>
      <c r="B283" s="2" t="s">
        <v>1432</v>
      </c>
      <c r="C283" s="2" t="e">
        <f ca="1">PAProjects5[[#This Row],[LINKING_CODE]]=_xlfn.CONCAT(PAProjects5[[#This Row],[Project Code]]," ",PAProjects5[[#This Row],[Project Name]])</f>
        <v>#NAME?</v>
      </c>
      <c r="D283" s="2" t="e">
        <f>VLOOKUP(PAProjects5[[#This Row],[LINKING_CODE]],MasterTable[[Project Code and Name ]],1,FALSE)</f>
        <v>#N/A</v>
      </c>
      <c r="E283" s="2" t="s">
        <v>531</v>
      </c>
      <c r="F283" s="2" t="s">
        <v>940</v>
      </c>
      <c r="G283" s="2" t="s">
        <v>941</v>
      </c>
      <c r="H283" s="2" t="s">
        <v>1113</v>
      </c>
      <c r="I283" s="2" t="s">
        <v>1206</v>
      </c>
      <c r="J283" s="2" t="s">
        <v>861</v>
      </c>
      <c r="K283" s="2" t="str">
        <f t="shared" si="38"/>
        <v>Retooling</v>
      </c>
      <c r="L283" s="26">
        <v>44013</v>
      </c>
      <c r="M283" s="23">
        <v>44742</v>
      </c>
      <c r="N283" s="36">
        <v>624.75</v>
      </c>
      <c r="O283" s="20"/>
      <c r="P283" s="20">
        <f t="shared" si="32"/>
        <v>624.75</v>
      </c>
      <c r="Q283" s="20">
        <f>SUMIFS(MasterTable[Estimate of Arrears at end of the current FY 2020/21 (value)],MasterTable[[Project Code and Name ]],PAProjects5[[#This Row],[LINKING_CODE]],MasterTable[Funding Source],"GoU Funded")/10^9</f>
        <v>0</v>
      </c>
      <c r="R283" s="29">
        <f>N283/5</f>
        <v>124.95</v>
      </c>
      <c r="S283" s="2"/>
      <c r="T283" s="29">
        <f>PAProjects[[#This Row],[GOU 21/22]]+PAProjects[[#This Row],[DONOR 21/22]]</f>
        <v>124.95</v>
      </c>
      <c r="U283" s="29">
        <f>R283</f>
        <v>124.95</v>
      </c>
      <c r="V283" s="2"/>
      <c r="W283" s="29">
        <f>PAProjects[[#This Row],[GOU 22/23]]+PAProjects[[#This Row],[DONOR 22/23]]</f>
        <v>124.95</v>
      </c>
      <c r="X283" s="29">
        <f>U283</f>
        <v>124.95</v>
      </c>
      <c r="Y283" s="2"/>
      <c r="Z283" s="29">
        <f>SUM(X283:Y283)</f>
        <v>124.95</v>
      </c>
      <c r="AA283" s="29">
        <f>X283</f>
        <v>124.95</v>
      </c>
      <c r="AB283" s="2"/>
      <c r="AC283" s="29">
        <f>PAProjects[[#This Row],[GOU 24/25]]+PAProjects[[#This Row],[DONOR 24/25]]</f>
        <v>124.95</v>
      </c>
    </row>
    <row r="284" spans="1:29" hidden="1" x14ac:dyDescent="0.25">
      <c r="A284" s="21" t="s">
        <v>248</v>
      </c>
      <c r="B284" s="2" t="s">
        <v>1433</v>
      </c>
      <c r="C284" s="2" t="e">
        <f ca="1">PAProjects5[[#This Row],[LINKING_CODE]]=_xlfn.CONCAT(PAProjects5[[#This Row],[Project Code]]," ",PAProjects5[[#This Row],[Project Name]])</f>
        <v>#NAME?</v>
      </c>
      <c r="D284" s="2" t="e">
        <f>VLOOKUP(PAProjects5[[#This Row],[LINKING_CODE]],MasterTable[[Project Code and Name ]],1,FALSE)</f>
        <v>#N/A</v>
      </c>
      <c r="E284" s="2" t="s">
        <v>531</v>
      </c>
      <c r="F284" s="2" t="s">
        <v>940</v>
      </c>
      <c r="G284" s="2" t="s">
        <v>103</v>
      </c>
      <c r="H284" s="2" t="s">
        <v>1113</v>
      </c>
      <c r="I284" s="2" t="s">
        <v>855</v>
      </c>
      <c r="J284" s="2" t="s">
        <v>1207</v>
      </c>
      <c r="K284" s="2" t="s">
        <v>1509</v>
      </c>
      <c r="L284" s="26">
        <v>43282</v>
      </c>
      <c r="M284" s="23">
        <v>44742</v>
      </c>
      <c r="N284" s="24">
        <v>107.2</v>
      </c>
      <c r="O284" s="20"/>
      <c r="P284" s="20">
        <f t="shared" si="32"/>
        <v>107.2</v>
      </c>
      <c r="Q284" s="20">
        <f>SUMIFS(MasterTable[Estimate of Arrears at end of the current FY 2020/21 (value)],MasterTable[[Project Code and Name ]],PAProjects5[[#This Row],[LINKING_CODE]],MasterTable[Funding Source],"GoU Funded")/10^9</f>
        <v>0</v>
      </c>
      <c r="R284" s="2">
        <v>12.5</v>
      </c>
      <c r="S284" s="2"/>
      <c r="T284" s="49">
        <f>PAProjects[[#This Row],[GOU 21/22]]+PAProjects[[#This Row],[DONOR 21/22]]</f>
        <v>12.5</v>
      </c>
      <c r="U284" s="2"/>
      <c r="V284" s="2"/>
      <c r="W284" s="49">
        <f>PAProjects[[#This Row],[GOU 22/23]]+PAProjects[[#This Row],[DONOR 22/23]]</f>
        <v>0</v>
      </c>
      <c r="X284" s="2"/>
      <c r="Y284" s="2"/>
      <c r="Z284" s="2"/>
      <c r="AA284" s="2"/>
      <c r="AB284" s="2"/>
      <c r="AC284" s="49">
        <f>PAProjects[[#This Row],[GOU 24/25]]+PAProjects[[#This Row],[DONOR 24/25]]</f>
        <v>0</v>
      </c>
    </row>
    <row r="285" spans="1:29" hidden="1" x14ac:dyDescent="0.25">
      <c r="A285" s="21" t="s">
        <v>249</v>
      </c>
      <c r="B285" s="2" t="s">
        <v>1434</v>
      </c>
      <c r="C285" s="2" t="e">
        <f ca="1">PAProjects5[[#This Row],[LINKING_CODE]]=_xlfn.CONCAT(PAProjects5[[#This Row],[Project Code]]," ",PAProjects5[[#This Row],[Project Name]])</f>
        <v>#NAME?</v>
      </c>
      <c r="D285" s="2" t="e">
        <f>VLOOKUP(PAProjects5[[#This Row],[LINKING_CODE]],MasterTable[[Project Code and Name ]],1,FALSE)</f>
        <v>#N/A</v>
      </c>
      <c r="E285" s="2" t="s">
        <v>531</v>
      </c>
      <c r="F285" s="2" t="s">
        <v>940</v>
      </c>
      <c r="G285" s="2" t="s">
        <v>103</v>
      </c>
      <c r="H285" s="2" t="s">
        <v>1113</v>
      </c>
      <c r="I285" s="2" t="s">
        <v>1208</v>
      </c>
      <c r="J285" s="2" t="s">
        <v>863</v>
      </c>
      <c r="K285" s="2" t="str">
        <f t="shared" si="38"/>
        <v>Retooling</v>
      </c>
      <c r="L285" s="26">
        <v>44013</v>
      </c>
      <c r="M285" s="23">
        <v>44742</v>
      </c>
      <c r="N285" s="36">
        <v>25</v>
      </c>
      <c r="O285" s="20"/>
      <c r="P285" s="20">
        <f t="shared" si="32"/>
        <v>25</v>
      </c>
      <c r="Q285" s="20">
        <f>SUMIFS(MasterTable[Estimate of Arrears at end of the current FY 2020/21 (value)],MasterTable[[Project Code and Name ]],PAProjects5[[#This Row],[LINKING_CODE]],MasterTable[Funding Source],"GoU Funded")/10^9</f>
        <v>0</v>
      </c>
      <c r="R285" s="29">
        <f t="shared" ref="R285:R291" si="39">N285/5</f>
        <v>5</v>
      </c>
      <c r="S285" s="2"/>
      <c r="T285" s="29">
        <f>PAProjects[[#This Row],[GOU 21/22]]+PAProjects[[#This Row],[DONOR 21/22]]</f>
        <v>5</v>
      </c>
      <c r="U285" s="29">
        <f t="shared" ref="U285:U291" si="40">R285</f>
        <v>5</v>
      </c>
      <c r="V285" s="2"/>
      <c r="W285" s="29">
        <f>PAProjects[[#This Row],[GOU 22/23]]+PAProjects[[#This Row],[DONOR 22/23]]</f>
        <v>5</v>
      </c>
      <c r="X285" s="29">
        <f t="shared" ref="X285:X291" si="41">U285</f>
        <v>5</v>
      </c>
      <c r="Y285" s="2"/>
      <c r="Z285" s="29">
        <f t="shared" ref="Z285:Z291" si="42">SUM(X285:Y285)</f>
        <v>5</v>
      </c>
      <c r="AA285" s="29">
        <f t="shared" ref="AA285:AA291" si="43">X285</f>
        <v>5</v>
      </c>
      <c r="AB285" s="2"/>
      <c r="AC285" s="29">
        <f>PAProjects[[#This Row],[GOU 24/25]]+PAProjects[[#This Row],[DONOR 24/25]]</f>
        <v>5</v>
      </c>
    </row>
    <row r="286" spans="1:29" hidden="1" x14ac:dyDescent="0.25">
      <c r="A286" s="21" t="s">
        <v>251</v>
      </c>
      <c r="B286" s="2" t="s">
        <v>1435</v>
      </c>
      <c r="C286" s="2" t="e">
        <f ca="1">PAProjects5[[#This Row],[LINKING_CODE]]=_xlfn.CONCAT(PAProjects5[[#This Row],[Project Code]]," ",PAProjects5[[#This Row],[Project Name]])</f>
        <v>#NAME?</v>
      </c>
      <c r="D286" s="2" t="e">
        <f>VLOOKUP(PAProjects5[[#This Row],[LINKING_CODE]],MasterTable[[Project Code and Name ]],1,FALSE)</f>
        <v>#N/A</v>
      </c>
      <c r="E286" s="2" t="s">
        <v>531</v>
      </c>
      <c r="F286" s="2" t="s">
        <v>940</v>
      </c>
      <c r="G286" s="2" t="s">
        <v>129</v>
      </c>
      <c r="H286" s="2" t="s">
        <v>1113</v>
      </c>
      <c r="I286" s="2" t="s">
        <v>1209</v>
      </c>
      <c r="J286" s="2" t="s">
        <v>859</v>
      </c>
      <c r="K286" s="2" t="str">
        <f t="shared" si="38"/>
        <v>Retooling</v>
      </c>
      <c r="L286" s="26">
        <v>44013</v>
      </c>
      <c r="M286" s="23">
        <v>44742</v>
      </c>
      <c r="N286" s="36">
        <v>18.812999999999999</v>
      </c>
      <c r="O286" s="20"/>
      <c r="P286" s="20">
        <f t="shared" si="32"/>
        <v>18.812999999999999</v>
      </c>
      <c r="Q286" s="20">
        <f>SUMIFS(MasterTable[Estimate of Arrears at end of the current FY 2020/21 (value)],MasterTable[[Project Code and Name ]],PAProjects5[[#This Row],[LINKING_CODE]],MasterTable[Funding Source],"GoU Funded")/10^9</f>
        <v>0</v>
      </c>
      <c r="R286" s="29">
        <f t="shared" si="39"/>
        <v>3.7625999999999999</v>
      </c>
      <c r="S286" s="2"/>
      <c r="T286" s="29">
        <f>PAProjects[[#This Row],[GOU 21/22]]+PAProjects[[#This Row],[DONOR 21/22]]</f>
        <v>3.7625999999999999</v>
      </c>
      <c r="U286" s="29">
        <f t="shared" si="40"/>
        <v>3.7625999999999999</v>
      </c>
      <c r="V286" s="2"/>
      <c r="W286" s="29">
        <f>PAProjects[[#This Row],[GOU 22/23]]+PAProjects[[#This Row],[DONOR 22/23]]</f>
        <v>3.7625999999999999</v>
      </c>
      <c r="X286" s="29">
        <f t="shared" si="41"/>
        <v>3.7625999999999999</v>
      </c>
      <c r="Y286" s="2"/>
      <c r="Z286" s="29">
        <f t="shared" si="42"/>
        <v>3.7625999999999999</v>
      </c>
      <c r="AA286" s="29">
        <f t="shared" si="43"/>
        <v>3.7625999999999999</v>
      </c>
      <c r="AB286" s="2"/>
      <c r="AC286" s="29">
        <f>PAProjects[[#This Row],[GOU 24/25]]+PAProjects[[#This Row],[DONOR 24/25]]</f>
        <v>3.7625999999999999</v>
      </c>
    </row>
    <row r="287" spans="1:29" hidden="1" x14ac:dyDescent="0.25">
      <c r="A287" s="21" t="s">
        <v>252</v>
      </c>
      <c r="B287" s="2" t="s">
        <v>1436</v>
      </c>
      <c r="C287" s="2" t="e">
        <f ca="1">PAProjects5[[#This Row],[LINKING_CODE]]=_xlfn.CONCAT(PAProjects5[[#This Row],[Project Code]]," ",PAProjects5[[#This Row],[Project Name]])</f>
        <v>#NAME?</v>
      </c>
      <c r="D287" s="2" t="e">
        <f>VLOOKUP(PAProjects5[[#This Row],[LINKING_CODE]],MasterTable[[Project Code and Name ]],1,FALSE)</f>
        <v>#N/A</v>
      </c>
      <c r="E287" s="2" t="s">
        <v>531</v>
      </c>
      <c r="F287" s="2" t="s">
        <v>940</v>
      </c>
      <c r="G287" s="2" t="s">
        <v>131</v>
      </c>
      <c r="H287" s="2" t="s">
        <v>1113</v>
      </c>
      <c r="I287" s="2" t="s">
        <v>1210</v>
      </c>
      <c r="J287" s="2" t="s">
        <v>1211</v>
      </c>
      <c r="K287" s="2" t="str">
        <f t="shared" si="38"/>
        <v>Retooling</v>
      </c>
      <c r="L287" s="26">
        <v>44013</v>
      </c>
      <c r="M287" s="23">
        <v>44742</v>
      </c>
      <c r="N287" s="36">
        <v>30.58</v>
      </c>
      <c r="O287" s="20"/>
      <c r="P287" s="20">
        <f t="shared" si="32"/>
        <v>30.58</v>
      </c>
      <c r="Q287" s="20">
        <f>SUMIFS(MasterTable[Estimate of Arrears at end of the current FY 2020/21 (value)],MasterTable[[Project Code and Name ]],PAProjects5[[#This Row],[LINKING_CODE]],MasterTable[Funding Source],"GoU Funded")/10^9</f>
        <v>0</v>
      </c>
      <c r="R287" s="29">
        <f t="shared" si="39"/>
        <v>6.1159999999999997</v>
      </c>
      <c r="S287" s="2"/>
      <c r="T287" s="29">
        <f>PAProjects[[#This Row],[GOU 21/22]]+PAProjects[[#This Row],[DONOR 21/22]]</f>
        <v>6.1159999999999997</v>
      </c>
      <c r="U287" s="29">
        <f t="shared" si="40"/>
        <v>6.1159999999999997</v>
      </c>
      <c r="V287" s="2"/>
      <c r="W287" s="29">
        <f>PAProjects[[#This Row],[GOU 22/23]]+PAProjects[[#This Row],[DONOR 22/23]]</f>
        <v>6.1159999999999997</v>
      </c>
      <c r="X287" s="29">
        <f t="shared" si="41"/>
        <v>6.1159999999999997</v>
      </c>
      <c r="Y287" s="2"/>
      <c r="Z287" s="29">
        <f t="shared" si="42"/>
        <v>6.1159999999999997</v>
      </c>
      <c r="AA287" s="29">
        <f t="shared" si="43"/>
        <v>6.1159999999999997</v>
      </c>
      <c r="AB287" s="2"/>
      <c r="AC287" s="29">
        <f>PAProjects[[#This Row],[GOU 24/25]]+PAProjects[[#This Row],[DONOR 24/25]]</f>
        <v>6.1159999999999997</v>
      </c>
    </row>
    <row r="288" spans="1:29" hidden="1" x14ac:dyDescent="0.25">
      <c r="A288" s="21" t="s">
        <v>253</v>
      </c>
      <c r="B288" s="2" t="s">
        <v>1437</v>
      </c>
      <c r="C288" s="2" t="e">
        <f ca="1">PAProjects5[[#This Row],[LINKING_CODE]]=_xlfn.CONCAT(PAProjects5[[#This Row],[Project Code]]," ",PAProjects5[[#This Row],[Project Name]])</f>
        <v>#NAME?</v>
      </c>
      <c r="D288" s="2" t="e">
        <f>VLOOKUP(PAProjects5[[#This Row],[LINKING_CODE]],MasterTable[[Project Code and Name ]],1,FALSE)</f>
        <v>#N/A</v>
      </c>
      <c r="E288" s="2" t="s">
        <v>531</v>
      </c>
      <c r="F288" s="2" t="s">
        <v>940</v>
      </c>
      <c r="G288" s="2" t="s">
        <v>141</v>
      </c>
      <c r="H288" s="2" t="s">
        <v>1113</v>
      </c>
      <c r="I288" s="2" t="s">
        <v>1212</v>
      </c>
      <c r="J288" s="2" t="s">
        <v>858</v>
      </c>
      <c r="K288" s="2" t="str">
        <f t="shared" si="38"/>
        <v>Retooling</v>
      </c>
      <c r="L288" s="26">
        <v>44013</v>
      </c>
      <c r="M288" s="23">
        <v>44742</v>
      </c>
      <c r="N288" s="24">
        <v>218.18299999999999</v>
      </c>
      <c r="O288" s="20"/>
      <c r="P288" s="20">
        <f t="shared" si="32"/>
        <v>218.18299999999999</v>
      </c>
      <c r="Q288" s="20">
        <f>SUMIFS(MasterTable[Estimate of Arrears at end of the current FY 2020/21 (value)],MasterTable[[Project Code and Name ]],PAProjects5[[#This Row],[LINKING_CODE]],MasterTable[Funding Source],"GoU Funded")/10^9</f>
        <v>0</v>
      </c>
      <c r="R288" s="29">
        <f t="shared" si="39"/>
        <v>43.636600000000001</v>
      </c>
      <c r="S288" s="2"/>
      <c r="T288" s="29">
        <f>PAProjects[[#This Row],[GOU 21/22]]+PAProjects[[#This Row],[DONOR 21/22]]</f>
        <v>43.636600000000001</v>
      </c>
      <c r="U288" s="29">
        <f t="shared" si="40"/>
        <v>43.636600000000001</v>
      </c>
      <c r="V288" s="2"/>
      <c r="W288" s="29">
        <f>PAProjects[[#This Row],[GOU 22/23]]+PAProjects[[#This Row],[DONOR 22/23]]</f>
        <v>43.636600000000001</v>
      </c>
      <c r="X288" s="29">
        <f t="shared" si="41"/>
        <v>43.636600000000001</v>
      </c>
      <c r="Y288" s="2"/>
      <c r="Z288" s="29">
        <f t="shared" si="42"/>
        <v>43.636600000000001</v>
      </c>
      <c r="AA288" s="29">
        <f t="shared" si="43"/>
        <v>43.636600000000001</v>
      </c>
      <c r="AB288" s="2"/>
      <c r="AC288" s="29">
        <f>PAProjects[[#This Row],[GOU 24/25]]+PAProjects[[#This Row],[DONOR 24/25]]</f>
        <v>43.636600000000001</v>
      </c>
    </row>
    <row r="289" spans="1:29" hidden="1" x14ac:dyDescent="0.25">
      <c r="A289" s="21" t="s">
        <v>254</v>
      </c>
      <c r="B289" s="2" t="s">
        <v>1438</v>
      </c>
      <c r="C289" s="2" t="e">
        <f ca="1">PAProjects5[[#This Row],[LINKING_CODE]]=_xlfn.CONCAT(PAProjects5[[#This Row],[Project Code]]," ",PAProjects5[[#This Row],[Project Name]])</f>
        <v>#NAME?</v>
      </c>
      <c r="D289" s="2" t="e">
        <f>VLOOKUP(PAProjects5[[#This Row],[LINKING_CODE]],MasterTable[[Project Code and Name ]],1,FALSE)</f>
        <v>#N/A</v>
      </c>
      <c r="E289" s="2" t="s">
        <v>531</v>
      </c>
      <c r="F289" s="2" t="s">
        <v>940</v>
      </c>
      <c r="G289" s="2" t="s">
        <v>143</v>
      </c>
      <c r="H289" s="2" t="s">
        <v>1113</v>
      </c>
      <c r="I289" s="2" t="s">
        <v>1213</v>
      </c>
      <c r="J289" s="2" t="s">
        <v>862</v>
      </c>
      <c r="K289" s="2" t="str">
        <f t="shared" si="38"/>
        <v>Retooling</v>
      </c>
      <c r="L289" s="26">
        <v>44013</v>
      </c>
      <c r="M289" s="23">
        <v>44742</v>
      </c>
      <c r="N289" s="36">
        <v>115.861</v>
      </c>
      <c r="O289" s="20"/>
      <c r="P289" s="20">
        <f t="shared" si="32"/>
        <v>115.861</v>
      </c>
      <c r="Q289" s="20">
        <f>SUMIFS(MasterTable[Estimate of Arrears at end of the current FY 2020/21 (value)],MasterTable[[Project Code and Name ]],PAProjects5[[#This Row],[LINKING_CODE]],MasterTable[Funding Source],"GoU Funded")/10^9</f>
        <v>0</v>
      </c>
      <c r="R289" s="29">
        <f t="shared" si="39"/>
        <v>23.1722</v>
      </c>
      <c r="S289" s="2"/>
      <c r="T289" s="29">
        <f>PAProjects[[#This Row],[GOU 21/22]]+PAProjects[[#This Row],[DONOR 21/22]]</f>
        <v>23.1722</v>
      </c>
      <c r="U289" s="29">
        <f t="shared" si="40"/>
        <v>23.1722</v>
      </c>
      <c r="V289" s="2"/>
      <c r="W289" s="29">
        <f>PAProjects[[#This Row],[GOU 22/23]]+PAProjects[[#This Row],[DONOR 22/23]]</f>
        <v>23.1722</v>
      </c>
      <c r="X289" s="29">
        <f t="shared" si="41"/>
        <v>23.1722</v>
      </c>
      <c r="Y289" s="2"/>
      <c r="Z289" s="29">
        <f t="shared" si="42"/>
        <v>23.1722</v>
      </c>
      <c r="AA289" s="29">
        <f t="shared" si="43"/>
        <v>23.1722</v>
      </c>
      <c r="AB289" s="2"/>
      <c r="AC289" s="29">
        <f>PAProjects[[#This Row],[GOU 24/25]]+PAProjects[[#This Row],[DONOR 24/25]]</f>
        <v>23.1722</v>
      </c>
    </row>
    <row r="290" spans="1:29" hidden="1" x14ac:dyDescent="0.25">
      <c r="A290" s="21" t="s">
        <v>255</v>
      </c>
      <c r="B290" s="2" t="s">
        <v>1439</v>
      </c>
      <c r="C290" s="2" t="e">
        <f ca="1">PAProjects5[[#This Row],[LINKING_CODE]]=_xlfn.CONCAT(PAProjects5[[#This Row],[Project Code]]," ",PAProjects5[[#This Row],[Project Name]])</f>
        <v>#NAME?</v>
      </c>
      <c r="D290" s="2" t="e">
        <f>VLOOKUP(PAProjects5[[#This Row],[LINKING_CODE]],MasterTable[[Project Code and Name ]],1,FALSE)</f>
        <v>#N/A</v>
      </c>
      <c r="E290" s="2" t="s">
        <v>531</v>
      </c>
      <c r="F290" s="2" t="s">
        <v>940</v>
      </c>
      <c r="G290" s="2" t="s">
        <v>153</v>
      </c>
      <c r="H290" s="2" t="s">
        <v>1113</v>
      </c>
      <c r="I290" s="2" t="s">
        <v>1214</v>
      </c>
      <c r="J290" s="2" t="s">
        <v>857</v>
      </c>
      <c r="K290" s="2" t="str">
        <f t="shared" si="38"/>
        <v>Retooling</v>
      </c>
      <c r="L290" s="26">
        <v>44013</v>
      </c>
      <c r="M290" s="23">
        <v>44742</v>
      </c>
      <c r="N290" s="24">
        <v>47.2</v>
      </c>
      <c r="O290" s="20"/>
      <c r="P290" s="20">
        <f t="shared" si="32"/>
        <v>47.2</v>
      </c>
      <c r="Q290" s="20">
        <f>SUMIFS(MasterTable[Estimate of Arrears at end of the current FY 2020/21 (value)],MasterTable[[Project Code and Name ]],PAProjects5[[#This Row],[LINKING_CODE]],MasterTable[Funding Source],"GoU Funded")/10^9</f>
        <v>0</v>
      </c>
      <c r="R290" s="29">
        <f t="shared" si="39"/>
        <v>9.4400000000000013</v>
      </c>
      <c r="S290" s="2"/>
      <c r="T290" s="29">
        <f>PAProjects[[#This Row],[GOU 21/22]]+PAProjects[[#This Row],[DONOR 21/22]]</f>
        <v>9.4400000000000013</v>
      </c>
      <c r="U290" s="29">
        <f t="shared" si="40"/>
        <v>9.4400000000000013</v>
      </c>
      <c r="V290" s="2"/>
      <c r="W290" s="29">
        <f>PAProjects[[#This Row],[GOU 22/23]]+PAProjects[[#This Row],[DONOR 22/23]]</f>
        <v>9.4400000000000013</v>
      </c>
      <c r="X290" s="29">
        <f t="shared" si="41"/>
        <v>9.4400000000000013</v>
      </c>
      <c r="Y290" s="2"/>
      <c r="Z290" s="29">
        <f t="shared" si="42"/>
        <v>9.4400000000000013</v>
      </c>
      <c r="AA290" s="29">
        <f t="shared" si="43"/>
        <v>9.4400000000000013</v>
      </c>
      <c r="AB290" s="2"/>
      <c r="AC290" s="29">
        <f>PAProjects[[#This Row],[GOU 24/25]]+PAProjects[[#This Row],[DONOR 24/25]]</f>
        <v>9.4400000000000013</v>
      </c>
    </row>
    <row r="291" spans="1:29" hidden="1" x14ac:dyDescent="0.25">
      <c r="A291" s="21" t="s">
        <v>256</v>
      </c>
      <c r="B291" s="2" t="s">
        <v>1440</v>
      </c>
      <c r="C291" s="2" t="e">
        <f ca="1">PAProjects5[[#This Row],[LINKING_CODE]]=_xlfn.CONCAT(PAProjects5[[#This Row],[Project Code]]," ",PAProjects5[[#This Row],[Project Name]])</f>
        <v>#NAME?</v>
      </c>
      <c r="D291" s="2" t="e">
        <f>VLOOKUP(PAProjects5[[#This Row],[LINKING_CODE]],MasterTable[[Project Code and Name ]],1,FALSE)</f>
        <v>#N/A</v>
      </c>
      <c r="E291" s="2" t="s">
        <v>531</v>
      </c>
      <c r="F291" s="2" t="s">
        <v>940</v>
      </c>
      <c r="G291" s="2" t="s">
        <v>310</v>
      </c>
      <c r="H291" s="2" t="s">
        <v>1113</v>
      </c>
      <c r="I291" s="2" t="s">
        <v>1215</v>
      </c>
      <c r="J291" s="2" t="s">
        <v>860</v>
      </c>
      <c r="K291" s="2" t="str">
        <f t="shared" si="38"/>
        <v>Retooling</v>
      </c>
      <c r="L291" s="26">
        <v>44013</v>
      </c>
      <c r="M291" s="23">
        <v>45838</v>
      </c>
      <c r="N291" s="36">
        <v>10.17</v>
      </c>
      <c r="O291" s="20"/>
      <c r="P291" s="20">
        <f t="shared" si="32"/>
        <v>10.17</v>
      </c>
      <c r="Q291" s="20">
        <f>SUMIFS(MasterTable[Estimate of Arrears at end of the current FY 2020/21 (value)],MasterTable[[Project Code and Name ]],PAProjects5[[#This Row],[LINKING_CODE]],MasterTable[Funding Source],"GoU Funded")/10^9</f>
        <v>0</v>
      </c>
      <c r="R291" s="29">
        <f t="shared" si="39"/>
        <v>2.0339999999999998</v>
      </c>
      <c r="S291" s="2"/>
      <c r="T291" s="29">
        <f>PAProjects[[#This Row],[GOU 21/22]]+PAProjects[[#This Row],[DONOR 21/22]]</f>
        <v>2.0339999999999998</v>
      </c>
      <c r="U291" s="29">
        <f t="shared" si="40"/>
        <v>2.0339999999999998</v>
      </c>
      <c r="V291" s="2"/>
      <c r="W291" s="29">
        <f>PAProjects[[#This Row],[GOU 22/23]]+PAProjects[[#This Row],[DONOR 22/23]]</f>
        <v>2.0339999999999998</v>
      </c>
      <c r="X291" s="29">
        <f t="shared" si="41"/>
        <v>2.0339999999999998</v>
      </c>
      <c r="Y291" s="2"/>
      <c r="Z291" s="29">
        <f t="shared" si="42"/>
        <v>2.0339999999999998</v>
      </c>
      <c r="AA291" s="29">
        <f t="shared" si="43"/>
        <v>2.0339999999999998</v>
      </c>
      <c r="AB291" s="2"/>
      <c r="AC291" s="29">
        <f>PAProjects[[#This Row],[GOU 24/25]]+PAProjects[[#This Row],[DONOR 24/25]]</f>
        <v>2.0339999999999998</v>
      </c>
    </row>
    <row r="292" spans="1:29" ht="15" hidden="1" customHeight="1" x14ac:dyDescent="0.25">
      <c r="A292" s="21" t="s">
        <v>257</v>
      </c>
      <c r="B292" s="2" t="s">
        <v>1441</v>
      </c>
      <c r="C292" s="2" t="e">
        <f ca="1">PAProjects5[[#This Row],[LINKING_CODE]]=_xlfn.CONCAT(PAProjects5[[#This Row],[Project Code]]," ",PAProjects5[[#This Row],[Project Name]])</f>
        <v>#NAME?</v>
      </c>
      <c r="D292" s="2" t="e">
        <f>VLOOKUP(PAProjects5[[#This Row],[LINKING_CODE]],MasterTable[[Project Code and Name ]],1,FALSE)</f>
        <v>#N/A</v>
      </c>
      <c r="E292" s="2" t="s">
        <v>533</v>
      </c>
      <c r="F292" s="2" t="s">
        <v>1216</v>
      </c>
      <c r="G292" s="2" t="s">
        <v>104</v>
      </c>
      <c r="H292" s="2" t="s">
        <v>1113</v>
      </c>
      <c r="I292" s="2" t="s">
        <v>864</v>
      </c>
      <c r="J292" s="2" t="s">
        <v>865</v>
      </c>
      <c r="K292" s="2" t="s">
        <v>1509</v>
      </c>
      <c r="L292" s="26">
        <v>40725</v>
      </c>
      <c r="M292" s="23">
        <v>44742</v>
      </c>
      <c r="N292" s="24">
        <v>301.96499999999997</v>
      </c>
      <c r="O292" s="20"/>
      <c r="P292" s="20">
        <f t="shared" si="32"/>
        <v>301.96499999999997</v>
      </c>
      <c r="Q292" s="20">
        <f>SUMIFS(MasterTable[Estimate of Arrears at end of the current FY 2020/21 (value)],MasterTable[[Project Code and Name ]],PAProjects5[[#This Row],[LINKING_CODE]],MasterTable[Funding Source],"GoU Funded")/10^9</f>
        <v>0</v>
      </c>
      <c r="R292" s="2">
        <v>65.69</v>
      </c>
      <c r="S292" s="2"/>
      <c r="T292" s="29">
        <f>PAProjects[[#This Row],[GOU 21/22]]+PAProjects[[#This Row],[DONOR 21/22]]</f>
        <v>65.69</v>
      </c>
      <c r="U292" s="2"/>
      <c r="V292" s="2"/>
      <c r="W292" s="49">
        <f>PAProjects[[#This Row],[GOU 22/23]]+PAProjects[[#This Row],[DONOR 22/23]]</f>
        <v>0</v>
      </c>
      <c r="X292" s="2"/>
      <c r="Y292" s="2"/>
      <c r="Z292" s="2"/>
      <c r="AA292" s="2"/>
      <c r="AB292" s="2"/>
      <c r="AC292" s="49">
        <f>PAProjects[[#This Row],[GOU 24/25]]+PAProjects[[#This Row],[DONOR 24/25]]</f>
        <v>0</v>
      </c>
    </row>
    <row r="293" spans="1:29" ht="15" hidden="1" customHeight="1" x14ac:dyDescent="0.25">
      <c r="A293" s="21" t="s">
        <v>259</v>
      </c>
      <c r="B293" s="2" t="s">
        <v>1442</v>
      </c>
      <c r="C293" s="2" t="e">
        <f ca="1">PAProjects5[[#This Row],[LINKING_CODE]]=_xlfn.CONCAT(PAProjects5[[#This Row],[Project Code]]," ",PAProjects5[[#This Row],[Project Name]])</f>
        <v>#NAME?</v>
      </c>
      <c r="D293" s="2" t="str">
        <f>VLOOKUP(PAProjects5[[#This Row],[LINKING_CODE]],MasterTable[[Project Code and Name ]],1,FALSE)</f>
        <v>1589 Retooling of Office of the President</v>
      </c>
      <c r="E293" s="2" t="s">
        <v>534</v>
      </c>
      <c r="F293" s="2" t="s">
        <v>1218</v>
      </c>
      <c r="G293" s="2" t="s">
        <v>1179</v>
      </c>
      <c r="H293" s="2" t="s">
        <v>1113</v>
      </c>
      <c r="I293" s="2" t="s">
        <v>1219</v>
      </c>
      <c r="J293" s="2" t="s">
        <v>866</v>
      </c>
      <c r="K293" s="2" t="str">
        <f t="shared" si="38"/>
        <v>Retooling</v>
      </c>
      <c r="L293" s="26">
        <v>44013</v>
      </c>
      <c r="M293" s="23">
        <v>45838</v>
      </c>
      <c r="N293" s="36">
        <v>55.389000000000003</v>
      </c>
      <c r="O293" s="20"/>
      <c r="P293" s="20">
        <f t="shared" si="32"/>
        <v>55.389000000000003</v>
      </c>
      <c r="Q293" s="20">
        <f>SUMIFS(MasterTable[Estimate of Arrears at end of the current FY 2020/21 (value)],MasterTable[[Project Code and Name ]],PAProjects5[[#This Row],[LINKING_CODE]],MasterTable[Funding Source],"GoU Funded")/10^9</f>
        <v>0</v>
      </c>
      <c r="R293" s="29">
        <f t="shared" ref="R293:R298" si="44">N293/5</f>
        <v>11.0778</v>
      </c>
      <c r="S293" s="2"/>
      <c r="T293" s="29">
        <f>PAProjects[[#This Row],[GOU 21/22]]+PAProjects[[#This Row],[DONOR 21/22]]</f>
        <v>15</v>
      </c>
      <c r="U293" s="29">
        <f t="shared" ref="U293:U298" si="45">R293</f>
        <v>11.0778</v>
      </c>
      <c r="V293" s="2"/>
      <c r="W293" s="29">
        <f>PAProjects[[#This Row],[GOU 22/23]]+PAProjects[[#This Row],[DONOR 22/23]]</f>
        <v>15</v>
      </c>
      <c r="X293" s="29">
        <f t="shared" ref="X293:X298" si="46">U293</f>
        <v>11.0778</v>
      </c>
      <c r="Y293" s="2"/>
      <c r="Z293" s="29">
        <f t="shared" ref="Z293:Z298" si="47">SUM(X293:Y293)</f>
        <v>11.0778</v>
      </c>
      <c r="AA293" s="29">
        <f t="shared" ref="AA293:AA298" si="48">X293</f>
        <v>11.0778</v>
      </c>
      <c r="AB293" s="2"/>
      <c r="AC293" s="29">
        <f>PAProjects[[#This Row],[GOU 24/25]]+PAProjects[[#This Row],[DONOR 24/25]]</f>
        <v>15</v>
      </c>
    </row>
    <row r="294" spans="1:29" ht="15" hidden="1" customHeight="1" x14ac:dyDescent="0.25">
      <c r="A294" s="21" t="s">
        <v>260</v>
      </c>
      <c r="B294" s="2" t="s">
        <v>1443</v>
      </c>
      <c r="C294" s="2" t="e">
        <f ca="1">PAProjects5[[#This Row],[LINKING_CODE]]=_xlfn.CONCAT(PAProjects5[[#This Row],[Project Code]]," ",PAProjects5[[#This Row],[Project Name]])</f>
        <v>#NAME?</v>
      </c>
      <c r="D294" s="2" t="e">
        <f>VLOOKUP(PAProjects5[[#This Row],[LINKING_CODE]],MasterTable[[Project Code and Name ]],1,FALSE)</f>
        <v>#N/A</v>
      </c>
      <c r="E294" s="2" t="s">
        <v>534</v>
      </c>
      <c r="F294" s="2" t="s">
        <v>1218</v>
      </c>
      <c r="G294" s="2" t="s">
        <v>1220</v>
      </c>
      <c r="H294" s="2" t="s">
        <v>1113</v>
      </c>
      <c r="I294" s="2" t="s">
        <v>1221</v>
      </c>
      <c r="J294" s="2" t="s">
        <v>867</v>
      </c>
      <c r="K294" s="2" t="str">
        <f t="shared" si="38"/>
        <v>Retooling</v>
      </c>
      <c r="L294" s="26">
        <v>44013</v>
      </c>
      <c r="M294" s="23">
        <v>45838</v>
      </c>
      <c r="N294" s="36">
        <v>435.25</v>
      </c>
      <c r="O294" s="20"/>
      <c r="P294" s="20">
        <f t="shared" si="32"/>
        <v>435.25</v>
      </c>
      <c r="Q294" s="20">
        <f>SUMIFS(MasterTable[Estimate of Arrears at end of the current FY 2020/21 (value)],MasterTable[[Project Code and Name ]],PAProjects5[[#This Row],[LINKING_CODE]],MasterTable[Funding Source],"GoU Funded")/10^9</f>
        <v>0</v>
      </c>
      <c r="R294" s="29">
        <f t="shared" si="44"/>
        <v>87.05</v>
      </c>
      <c r="S294" s="2"/>
      <c r="T294" s="29">
        <f>PAProjects[[#This Row],[GOU 21/22]]+PAProjects[[#This Row],[DONOR 21/22]]</f>
        <v>87.05</v>
      </c>
      <c r="U294" s="29">
        <f t="shared" si="45"/>
        <v>87.05</v>
      </c>
      <c r="V294" s="2"/>
      <c r="W294" s="29">
        <f>PAProjects[[#This Row],[GOU 22/23]]+PAProjects[[#This Row],[DONOR 22/23]]</f>
        <v>87.05</v>
      </c>
      <c r="X294" s="29">
        <f t="shared" si="46"/>
        <v>87.05</v>
      </c>
      <c r="Y294" s="2"/>
      <c r="Z294" s="29">
        <f t="shared" si="47"/>
        <v>87.05</v>
      </c>
      <c r="AA294" s="29">
        <f t="shared" si="48"/>
        <v>87.05</v>
      </c>
      <c r="AB294" s="2"/>
      <c r="AC294" s="29">
        <f>PAProjects[[#This Row],[GOU 24/25]]+PAProjects[[#This Row],[DONOR 24/25]]</f>
        <v>87.05</v>
      </c>
    </row>
    <row r="295" spans="1:29" ht="15" hidden="1" customHeight="1" x14ac:dyDescent="0.25">
      <c r="A295" s="21" t="s">
        <v>261</v>
      </c>
      <c r="B295" s="2" t="s">
        <v>1444</v>
      </c>
      <c r="C295" s="2" t="e">
        <f ca="1">PAProjects5[[#This Row],[LINKING_CODE]]=_xlfn.CONCAT(PAProjects5[[#This Row],[Project Code]]," ",PAProjects5[[#This Row],[Project Name]])</f>
        <v>#NAME?</v>
      </c>
      <c r="D295" s="2" t="e">
        <f>VLOOKUP(PAProjects5[[#This Row],[LINKING_CODE]],MasterTable[[Project Code and Name ]],1,FALSE)</f>
        <v>#N/A</v>
      </c>
      <c r="E295" s="2" t="s">
        <v>534</v>
      </c>
      <c r="F295" s="2" t="s">
        <v>1218</v>
      </c>
      <c r="G295" s="2" t="s">
        <v>1222</v>
      </c>
      <c r="H295" s="2" t="s">
        <v>1113</v>
      </c>
      <c r="I295" s="2" t="s">
        <v>1223</v>
      </c>
      <c r="J295" s="2" t="s">
        <v>868</v>
      </c>
      <c r="K295" s="2" t="str">
        <f t="shared" si="38"/>
        <v>Retooling</v>
      </c>
      <c r="L295" s="26">
        <v>44013</v>
      </c>
      <c r="M295" s="23">
        <v>45838</v>
      </c>
      <c r="N295" s="36">
        <v>7.72</v>
      </c>
      <c r="O295" s="20"/>
      <c r="P295" s="20">
        <f t="shared" si="32"/>
        <v>7.72</v>
      </c>
      <c r="Q295" s="20">
        <f>SUMIFS(MasterTable[Estimate of Arrears at end of the current FY 2020/21 (value)],MasterTable[[Project Code and Name ]],PAProjects5[[#This Row],[LINKING_CODE]],MasterTable[Funding Source],"GoU Funded")/10^9</f>
        <v>0</v>
      </c>
      <c r="R295" s="29">
        <f t="shared" si="44"/>
        <v>1.544</v>
      </c>
      <c r="S295" s="2"/>
      <c r="T295" s="29">
        <f>PAProjects[[#This Row],[GOU 21/22]]+PAProjects[[#This Row],[DONOR 21/22]]</f>
        <v>1.544</v>
      </c>
      <c r="U295" s="29">
        <f t="shared" si="45"/>
        <v>1.544</v>
      </c>
      <c r="V295" s="2"/>
      <c r="W295" s="29">
        <f>PAProjects[[#This Row],[GOU 22/23]]+PAProjects[[#This Row],[DONOR 22/23]]</f>
        <v>1.544</v>
      </c>
      <c r="X295" s="29">
        <f t="shared" si="46"/>
        <v>1.544</v>
      </c>
      <c r="Y295" s="2"/>
      <c r="Z295" s="29">
        <f t="shared" si="47"/>
        <v>1.544</v>
      </c>
      <c r="AA295" s="29">
        <f t="shared" si="48"/>
        <v>1.544</v>
      </c>
      <c r="AB295" s="2"/>
      <c r="AC295" s="29">
        <f>PAProjects[[#This Row],[GOU 24/25]]+PAProjects[[#This Row],[DONOR 24/25]]</f>
        <v>1.544</v>
      </c>
    </row>
    <row r="296" spans="1:29" ht="15" hidden="1" customHeight="1" x14ac:dyDescent="0.25">
      <c r="A296" s="21" t="s">
        <v>262</v>
      </c>
      <c r="B296" s="2" t="s">
        <v>1445</v>
      </c>
      <c r="C296" s="2" t="e">
        <f ca="1">PAProjects5[[#This Row],[LINKING_CODE]]=_xlfn.CONCAT(PAProjects5[[#This Row],[Project Code]]," ",PAProjects5[[#This Row],[Project Name]])</f>
        <v>#NAME?</v>
      </c>
      <c r="D296" s="2" t="e">
        <f>VLOOKUP(PAProjects5[[#This Row],[LINKING_CODE]],MasterTable[[Project Code and Name ]],1,FALSE)</f>
        <v>#N/A</v>
      </c>
      <c r="E296" s="2" t="s">
        <v>534</v>
      </c>
      <c r="F296" s="2" t="s">
        <v>1218</v>
      </c>
      <c r="G296" s="2" t="s">
        <v>102</v>
      </c>
      <c r="H296" s="2" t="s">
        <v>1113</v>
      </c>
      <c r="I296" s="2" t="s">
        <v>1224</v>
      </c>
      <c r="J296" s="2" t="s">
        <v>1225</v>
      </c>
      <c r="K296" s="2" t="str">
        <f t="shared" si="38"/>
        <v>Retooling</v>
      </c>
      <c r="L296" s="26">
        <v>44013</v>
      </c>
      <c r="M296" s="23">
        <v>45838</v>
      </c>
      <c r="N296" s="36">
        <v>50</v>
      </c>
      <c r="O296" s="20"/>
      <c r="P296" s="20">
        <f t="shared" si="32"/>
        <v>50</v>
      </c>
      <c r="Q296" s="20">
        <f>SUMIFS(MasterTable[Estimate of Arrears at end of the current FY 2020/21 (value)],MasterTable[[Project Code and Name ]],PAProjects5[[#This Row],[LINKING_CODE]],MasterTable[Funding Source],"GoU Funded")/10^9</f>
        <v>0</v>
      </c>
      <c r="R296" s="29">
        <f t="shared" si="44"/>
        <v>10</v>
      </c>
      <c r="S296" s="2"/>
      <c r="T296" s="29">
        <f>PAProjects[[#This Row],[GOU 21/22]]+PAProjects[[#This Row],[DONOR 21/22]]</f>
        <v>10</v>
      </c>
      <c r="U296" s="29">
        <f t="shared" si="45"/>
        <v>10</v>
      </c>
      <c r="V296" s="2"/>
      <c r="W296" s="29">
        <f>PAProjects[[#This Row],[GOU 22/23]]+PAProjects[[#This Row],[DONOR 22/23]]</f>
        <v>10</v>
      </c>
      <c r="X296" s="29">
        <f t="shared" si="46"/>
        <v>10</v>
      </c>
      <c r="Y296" s="2"/>
      <c r="Z296" s="29">
        <f t="shared" si="47"/>
        <v>10</v>
      </c>
      <c r="AA296" s="29">
        <f t="shared" si="48"/>
        <v>10</v>
      </c>
      <c r="AB296" s="2"/>
      <c r="AC296" s="29">
        <f>PAProjects[[#This Row],[GOU 24/25]]+PAProjects[[#This Row],[DONOR 24/25]]</f>
        <v>10</v>
      </c>
    </row>
    <row r="297" spans="1:29" ht="15" hidden="1" customHeight="1" x14ac:dyDescent="0.25">
      <c r="A297" s="21" t="s">
        <v>264</v>
      </c>
      <c r="B297" s="2" t="s">
        <v>1446</v>
      </c>
      <c r="C297" s="2" t="e">
        <f ca="1">PAProjects5[[#This Row],[LINKING_CODE]]=_xlfn.CONCAT(PAProjects5[[#This Row],[Project Code]]," ",PAProjects5[[#This Row],[Project Name]])</f>
        <v>#NAME?</v>
      </c>
      <c r="D297" s="2" t="e">
        <f>VLOOKUP(PAProjects5[[#This Row],[LINKING_CODE]],MasterTable[[Project Code and Name ]],1,FALSE)</f>
        <v>#N/A</v>
      </c>
      <c r="E297" s="2" t="s">
        <v>537</v>
      </c>
      <c r="F297" s="2" t="s">
        <v>997</v>
      </c>
      <c r="G297" s="2" t="s">
        <v>110</v>
      </c>
      <c r="H297" s="2" t="s">
        <v>1113</v>
      </c>
      <c r="I297" s="2" t="s">
        <v>1228</v>
      </c>
      <c r="J297" s="2" t="s">
        <v>871</v>
      </c>
      <c r="K297" s="2" t="str">
        <f t="shared" si="38"/>
        <v>Retooling</v>
      </c>
      <c r="L297" s="26">
        <v>44013</v>
      </c>
      <c r="M297" s="23">
        <v>45838</v>
      </c>
      <c r="N297" s="36">
        <v>20.54</v>
      </c>
      <c r="O297" s="37">
        <v>0</v>
      </c>
      <c r="P297" s="20">
        <f t="shared" si="32"/>
        <v>20.54</v>
      </c>
      <c r="Q297" s="20">
        <f>SUMIFS(MasterTable[Estimate of Arrears at end of the current FY 2020/21 (value)],MasterTable[[Project Code and Name ]],PAProjects5[[#This Row],[LINKING_CODE]],MasterTable[Funding Source],"GoU Funded")/10^9</f>
        <v>0</v>
      </c>
      <c r="R297" s="29">
        <f t="shared" si="44"/>
        <v>4.1079999999999997</v>
      </c>
      <c r="S297" s="2"/>
      <c r="T297" s="29">
        <f>PAProjects[[#This Row],[GOU 21/22]]+PAProjects[[#This Row],[DONOR 21/22]]</f>
        <v>4.1079999999999997</v>
      </c>
      <c r="U297" s="29">
        <f t="shared" si="45"/>
        <v>4.1079999999999997</v>
      </c>
      <c r="V297" s="2"/>
      <c r="W297" s="29">
        <f>PAProjects[[#This Row],[GOU 22/23]]+PAProjects[[#This Row],[DONOR 22/23]]</f>
        <v>4.1079999999999997</v>
      </c>
      <c r="X297" s="29">
        <f t="shared" si="46"/>
        <v>4.1079999999999997</v>
      </c>
      <c r="Y297" s="2"/>
      <c r="Z297" s="29">
        <f t="shared" si="47"/>
        <v>4.1079999999999997</v>
      </c>
      <c r="AA297" s="29">
        <f t="shared" si="48"/>
        <v>4.1079999999999997</v>
      </c>
      <c r="AB297" s="2"/>
      <c r="AC297" s="29">
        <f>PAProjects[[#This Row],[GOU 24/25]]+PAProjects[[#This Row],[DONOR 24/25]]</f>
        <v>4.1079999999999997</v>
      </c>
    </row>
    <row r="298" spans="1:29" hidden="1" x14ac:dyDescent="0.25">
      <c r="A298" s="21" t="s">
        <v>268</v>
      </c>
      <c r="B298" s="2" t="s">
        <v>1447</v>
      </c>
      <c r="C298" s="2" t="e">
        <f ca="1">PAProjects5[[#This Row],[LINKING_CODE]]=_xlfn.CONCAT(PAProjects5[[#This Row],[Project Code]]," ",PAProjects5[[#This Row],[Project Name]])</f>
        <v>#NAME?</v>
      </c>
      <c r="D298" s="2" t="e">
        <f>VLOOKUP(PAProjects5[[#This Row],[LINKING_CODE]],MasterTable[[Project Code and Name ]],1,FALSE)</f>
        <v>#N/A</v>
      </c>
      <c r="E298" s="2" t="s">
        <v>540</v>
      </c>
      <c r="F298" s="2" t="s">
        <v>931</v>
      </c>
      <c r="G298" s="2" t="s">
        <v>147</v>
      </c>
      <c r="H298" s="2" t="s">
        <v>1113</v>
      </c>
      <c r="I298" s="2" t="s">
        <v>1233</v>
      </c>
      <c r="J298" s="2" t="s">
        <v>877</v>
      </c>
      <c r="K298" s="2" t="str">
        <f t="shared" si="38"/>
        <v>Retooling</v>
      </c>
      <c r="L298" s="26">
        <v>44013</v>
      </c>
      <c r="M298" s="23">
        <v>45838</v>
      </c>
      <c r="N298" s="24">
        <v>7.2960000000000003</v>
      </c>
      <c r="O298" s="20"/>
      <c r="P298" s="20">
        <f t="shared" si="32"/>
        <v>7.2960000000000003</v>
      </c>
      <c r="Q298" s="20">
        <f>SUMIFS(MasterTable[Estimate of Arrears at end of the current FY 2020/21 (value)],MasterTable[[Project Code and Name ]],PAProjects5[[#This Row],[LINKING_CODE]],MasterTable[Funding Source],"GoU Funded")/10^9</f>
        <v>0</v>
      </c>
      <c r="R298" s="29">
        <f t="shared" si="44"/>
        <v>1.4592000000000001</v>
      </c>
      <c r="S298" s="2"/>
      <c r="T298" s="29">
        <f>PAProjects[[#This Row],[GOU 21/22]]+PAProjects[[#This Row],[DONOR 21/22]]</f>
        <v>1.4592000000000001</v>
      </c>
      <c r="U298" s="29">
        <f t="shared" si="45"/>
        <v>1.4592000000000001</v>
      </c>
      <c r="V298" s="2"/>
      <c r="W298" s="29">
        <f>PAProjects[[#This Row],[GOU 22/23]]+PAProjects[[#This Row],[DONOR 22/23]]</f>
        <v>1.4592000000000001</v>
      </c>
      <c r="X298" s="29">
        <f t="shared" si="46"/>
        <v>1.4592000000000001</v>
      </c>
      <c r="Y298" s="2"/>
      <c r="Z298" s="29">
        <f t="shared" si="47"/>
        <v>1.4592000000000001</v>
      </c>
      <c r="AA298" s="29">
        <f t="shared" si="48"/>
        <v>1.4592000000000001</v>
      </c>
      <c r="AB298" s="2"/>
      <c r="AC298" s="29">
        <f>PAProjects[[#This Row],[GOU 24/25]]+PAProjects[[#This Row],[DONOR 24/25]]</f>
        <v>1.4592000000000001</v>
      </c>
    </row>
    <row r="299" spans="1:29" ht="15" hidden="1" customHeight="1" x14ac:dyDescent="0.25">
      <c r="A299" s="21" t="s">
        <v>298</v>
      </c>
      <c r="B299" s="2" t="s">
        <v>1448</v>
      </c>
      <c r="C299" s="2" t="e">
        <f ca="1">PAProjects5[[#This Row],[LINKING_CODE]]=_xlfn.CONCAT(PAProjects5[[#This Row],[Project Code]]," ",PAProjects5[[#This Row],[Project Name]])</f>
        <v>#NAME?</v>
      </c>
      <c r="D299" s="2" t="e">
        <f>VLOOKUP(PAProjects5[[#This Row],[LINKING_CODE]],MasterTable[[Project Code and Name ]],1,FALSE)</f>
        <v>#N/A</v>
      </c>
      <c r="E299" s="2" t="s">
        <v>522</v>
      </c>
      <c r="F299" s="2" t="s">
        <v>1173</v>
      </c>
      <c r="G299" s="2" t="s">
        <v>68</v>
      </c>
      <c r="H299" s="2" t="s">
        <v>1272</v>
      </c>
      <c r="I299" s="2" t="s">
        <v>753</v>
      </c>
      <c r="J299" s="2" t="s">
        <v>754</v>
      </c>
      <c r="K299" s="2" t="s">
        <v>1509</v>
      </c>
      <c r="L299" s="23">
        <v>39995</v>
      </c>
      <c r="M299" s="23">
        <v>44742</v>
      </c>
      <c r="N299" s="24">
        <v>139.94999999999999</v>
      </c>
      <c r="O299" s="25">
        <v>5.29</v>
      </c>
      <c r="P299" s="20">
        <f t="shared" si="32"/>
        <v>145.23999999999998</v>
      </c>
      <c r="Q299" s="20">
        <f>SUMIFS(MasterTable[Estimate of Arrears at end of the current FY 2020/21 (value)],MasterTable[[Project Code and Name ]],PAProjects5[[#This Row],[LINKING_CODE]],MasterTable[Funding Source],"GoU Funded")/10^9</f>
        <v>0</v>
      </c>
      <c r="R299" s="39">
        <v>25.376000000000001</v>
      </c>
      <c r="S299" s="2"/>
      <c r="T299" s="29">
        <f>PAProjects[[#This Row],[GOU 21/22]]+PAProjects[[#This Row],[DONOR 21/22]]</f>
        <v>25.376000000000001</v>
      </c>
      <c r="U299" s="2"/>
      <c r="V299" s="2"/>
      <c r="W299" s="49">
        <f>PAProjects[[#This Row],[GOU 22/23]]+PAProjects[[#This Row],[DONOR 22/23]]</f>
        <v>0</v>
      </c>
      <c r="X299" s="2"/>
      <c r="Y299" s="2"/>
      <c r="Z299" s="2">
        <f t="shared" ref="Z299:Z328" si="49">X299+Y299</f>
        <v>0</v>
      </c>
      <c r="AA299" s="2"/>
      <c r="AB299" s="2"/>
      <c r="AC299" s="49">
        <f>PAProjects[[#This Row],[GOU 24/25]]+PAProjects[[#This Row],[DONOR 24/25]]</f>
        <v>0</v>
      </c>
    </row>
    <row r="300" spans="1:29" ht="15" hidden="1" customHeight="1" x14ac:dyDescent="0.25">
      <c r="A300" s="21" t="s">
        <v>299</v>
      </c>
      <c r="B300" s="2" t="s">
        <v>1449</v>
      </c>
      <c r="C300" s="2" t="e">
        <f ca="1">PAProjects5[[#This Row],[LINKING_CODE]]=_xlfn.CONCAT(PAProjects5[[#This Row],[Project Code]]," ",PAProjects5[[#This Row],[Project Name]])</f>
        <v>#NAME?</v>
      </c>
      <c r="D300" s="2" t="e">
        <f>VLOOKUP(PAProjects5[[#This Row],[LINKING_CODE]],MasterTable[[Project Code and Name ]],1,FALSE)</f>
        <v>#N/A</v>
      </c>
      <c r="E300" s="2" t="s">
        <v>522</v>
      </c>
      <c r="F300" s="2" t="s">
        <v>1173</v>
      </c>
      <c r="G300" s="2" t="s">
        <v>68</v>
      </c>
      <c r="H300" s="2" t="s">
        <v>1272</v>
      </c>
      <c r="I300" s="2" t="s">
        <v>755</v>
      </c>
      <c r="J300" s="2" t="s">
        <v>1273</v>
      </c>
      <c r="K300" s="2" t="s">
        <v>1509</v>
      </c>
      <c r="L300" s="23">
        <v>40725</v>
      </c>
      <c r="M300" s="23">
        <v>44742</v>
      </c>
      <c r="N300" s="24">
        <v>58.67</v>
      </c>
      <c r="O300" s="25">
        <v>223.67</v>
      </c>
      <c r="P300" s="20">
        <f t="shared" si="32"/>
        <v>282.33999999999997</v>
      </c>
      <c r="Q300" s="20">
        <f>SUMIFS(MasterTable[Estimate of Arrears at end of the current FY 2020/21 (value)],MasterTable[[Project Code and Name ]],PAProjects5[[#This Row],[LINKING_CODE]],MasterTable[Funding Source],"GoU Funded")/10^9</f>
        <v>0</v>
      </c>
      <c r="R300" s="2">
        <v>3.2</v>
      </c>
      <c r="S300" s="2"/>
      <c r="T300" s="49">
        <f>PAProjects[[#This Row],[GOU 21/22]]+PAProjects[[#This Row],[DONOR 21/22]]</f>
        <v>3.2</v>
      </c>
      <c r="U300" s="2"/>
      <c r="V300" s="2"/>
      <c r="W300" s="49">
        <f>PAProjects[[#This Row],[GOU 22/23]]+PAProjects[[#This Row],[DONOR 22/23]]</f>
        <v>0</v>
      </c>
      <c r="X300" s="2"/>
      <c r="Y300" s="2"/>
      <c r="Z300" s="2">
        <f t="shared" si="49"/>
        <v>0</v>
      </c>
      <c r="AA300" s="2"/>
      <c r="AB300" s="2"/>
      <c r="AC300" s="49">
        <f>PAProjects[[#This Row],[GOU 24/25]]+PAProjects[[#This Row],[DONOR 24/25]]</f>
        <v>0</v>
      </c>
    </row>
    <row r="301" spans="1:29" ht="15" hidden="1" customHeight="1" x14ac:dyDescent="0.25">
      <c r="A301" s="21" t="s">
        <v>300</v>
      </c>
      <c r="B301" s="2" t="s">
        <v>1450</v>
      </c>
      <c r="C301" s="2" t="e">
        <f ca="1">PAProjects5[[#This Row],[LINKING_CODE]]=_xlfn.CONCAT(PAProjects5[[#This Row],[Project Code]]," ",PAProjects5[[#This Row],[Project Name]])</f>
        <v>#NAME?</v>
      </c>
      <c r="D301" s="2" t="e">
        <f>VLOOKUP(PAProjects5[[#This Row],[LINKING_CODE]],MasterTable[[Project Code and Name ]],1,FALSE)</f>
        <v>#N/A</v>
      </c>
      <c r="E301" s="2" t="s">
        <v>522</v>
      </c>
      <c r="F301" s="2" t="s">
        <v>1173</v>
      </c>
      <c r="G301" s="2" t="s">
        <v>68</v>
      </c>
      <c r="H301" s="2" t="s">
        <v>1272</v>
      </c>
      <c r="I301" s="2" t="s">
        <v>756</v>
      </c>
      <c r="J301" s="2" t="s">
        <v>757</v>
      </c>
      <c r="K301" s="2" t="s">
        <v>1509</v>
      </c>
      <c r="L301" s="23">
        <v>41821</v>
      </c>
      <c r="M301" s="23">
        <v>44742</v>
      </c>
      <c r="N301" s="24">
        <v>5.32</v>
      </c>
      <c r="O301" s="20"/>
      <c r="P301" s="20">
        <f t="shared" si="32"/>
        <v>5.32</v>
      </c>
      <c r="Q301" s="20">
        <f>SUMIFS(MasterTable[Estimate of Arrears at end of the current FY 2020/21 (value)],MasterTable[[Project Code and Name ]],PAProjects5[[#This Row],[LINKING_CODE]],MasterTable[Funding Source],"GoU Funded")/10^9</f>
        <v>0</v>
      </c>
      <c r="R301" s="2">
        <v>4.1339519999999998</v>
      </c>
      <c r="S301" s="2"/>
      <c r="T301" s="49">
        <f>PAProjects[[#This Row],[GOU 21/22]]+PAProjects[[#This Row],[DONOR 21/22]]</f>
        <v>4.1339519999999998</v>
      </c>
      <c r="U301" s="2"/>
      <c r="V301" s="2"/>
      <c r="W301" s="49">
        <f>PAProjects[[#This Row],[GOU 22/23]]+PAProjects[[#This Row],[DONOR 22/23]]</f>
        <v>0</v>
      </c>
      <c r="X301" s="2"/>
      <c r="Y301" s="2"/>
      <c r="Z301" s="2">
        <f t="shared" si="49"/>
        <v>0</v>
      </c>
      <c r="AA301" s="2"/>
      <c r="AB301" s="2"/>
      <c r="AC301" s="49">
        <f>PAProjects[[#This Row],[GOU 24/25]]+PAProjects[[#This Row],[DONOR 24/25]]</f>
        <v>0</v>
      </c>
    </row>
    <row r="302" spans="1:29" ht="15" hidden="1" customHeight="1" x14ac:dyDescent="0.25">
      <c r="A302" s="21" t="s">
        <v>301</v>
      </c>
      <c r="B302" s="2" t="s">
        <v>1451</v>
      </c>
      <c r="C302" s="2" t="e">
        <f ca="1">PAProjects5[[#This Row],[LINKING_CODE]]=_xlfn.CONCAT(PAProjects5[[#This Row],[Project Code]]," ",PAProjects5[[#This Row],[Project Name]])</f>
        <v>#NAME?</v>
      </c>
      <c r="D302" s="2" t="e">
        <f>VLOOKUP(PAProjects5[[#This Row],[LINKING_CODE]],MasterTable[[Project Code and Name ]],1,FALSE)</f>
        <v>#N/A</v>
      </c>
      <c r="E302" s="2" t="s">
        <v>522</v>
      </c>
      <c r="F302" s="2" t="s">
        <v>1173</v>
      </c>
      <c r="G302" s="2" t="s">
        <v>68</v>
      </c>
      <c r="H302" s="2" t="s">
        <v>1272</v>
      </c>
      <c r="I302" s="2" t="s">
        <v>760</v>
      </c>
      <c r="J302" s="2" t="s">
        <v>761</v>
      </c>
      <c r="K302" s="2" t="s">
        <v>1509</v>
      </c>
      <c r="L302" s="23">
        <v>42186</v>
      </c>
      <c r="M302" s="23">
        <v>44742</v>
      </c>
      <c r="N302" s="24">
        <v>79.349999999999994</v>
      </c>
      <c r="O302" s="20"/>
      <c r="P302" s="20">
        <f t="shared" si="32"/>
        <v>79.349999999999994</v>
      </c>
      <c r="Q302" s="20">
        <f>SUMIFS(MasterTable[Estimate of Arrears at end of the current FY 2020/21 (value)],MasterTable[[Project Code and Name ]],PAProjects5[[#This Row],[LINKING_CODE]],MasterTable[Funding Source],"GoU Funded")/10^9</f>
        <v>0</v>
      </c>
      <c r="R302" s="2">
        <v>46.244738509999998</v>
      </c>
      <c r="S302" s="2"/>
      <c r="T302" s="49">
        <f>PAProjects[[#This Row],[GOU 21/22]]+PAProjects[[#This Row],[DONOR 21/22]]</f>
        <v>46.244738509999998</v>
      </c>
      <c r="U302" s="2"/>
      <c r="V302" s="2"/>
      <c r="W302" s="49">
        <f>PAProjects[[#This Row],[GOU 22/23]]+PAProjects[[#This Row],[DONOR 22/23]]</f>
        <v>0</v>
      </c>
      <c r="X302" s="2"/>
      <c r="Y302" s="2"/>
      <c r="Z302" s="2">
        <f t="shared" si="49"/>
        <v>0</v>
      </c>
      <c r="AA302" s="2"/>
      <c r="AB302" s="2"/>
      <c r="AC302" s="49">
        <f>PAProjects[[#This Row],[GOU 24/25]]+PAProjects[[#This Row],[DONOR 24/25]]</f>
        <v>0</v>
      </c>
    </row>
    <row r="303" spans="1:29" ht="15" hidden="1" customHeight="1" x14ac:dyDescent="0.25">
      <c r="A303" s="21" t="s">
        <v>302</v>
      </c>
      <c r="B303" s="2" t="s">
        <v>1452</v>
      </c>
      <c r="C303" s="2" t="e">
        <f ca="1">PAProjects5[[#This Row],[LINKING_CODE]]=_xlfn.CONCAT(PAProjects5[[#This Row],[Project Code]]," ",PAProjects5[[#This Row],[Project Name]])</f>
        <v>#NAME?</v>
      </c>
      <c r="D303" s="2" t="e">
        <f>VLOOKUP(PAProjects5[[#This Row],[LINKING_CODE]],MasterTable[[Project Code and Name ]],1,FALSE)</f>
        <v>#N/A</v>
      </c>
      <c r="E303" s="2" t="s">
        <v>522</v>
      </c>
      <c r="F303" s="2" t="s">
        <v>1173</v>
      </c>
      <c r="G303" s="2" t="s">
        <v>68</v>
      </c>
      <c r="H303" s="2" t="s">
        <v>1272</v>
      </c>
      <c r="I303" s="2" t="s">
        <v>762</v>
      </c>
      <c r="J303" s="2" t="s">
        <v>763</v>
      </c>
      <c r="K303" s="2" t="s">
        <v>1509</v>
      </c>
      <c r="L303" s="23">
        <v>42552</v>
      </c>
      <c r="M303" s="23">
        <v>44742</v>
      </c>
      <c r="N303" s="24">
        <v>53.88</v>
      </c>
      <c r="O303" s="20"/>
      <c r="P303" s="20">
        <f t="shared" si="32"/>
        <v>53.88</v>
      </c>
      <c r="Q303" s="20">
        <f>SUMIFS(MasterTable[Estimate of Arrears at end of the current FY 2020/21 (value)],MasterTable[[Project Code and Name ]],PAProjects5[[#This Row],[LINKING_CODE]],MasterTable[Funding Source],"GoU Funded")/10^9</f>
        <v>0</v>
      </c>
      <c r="R303" s="2">
        <v>2.0609600000000001</v>
      </c>
      <c r="S303" s="2"/>
      <c r="T303" s="49">
        <f>PAProjects[[#This Row],[GOU 21/22]]+PAProjects[[#This Row],[DONOR 21/22]]</f>
        <v>2.0609600000000001</v>
      </c>
      <c r="U303" s="2"/>
      <c r="V303" s="2"/>
      <c r="W303" s="49">
        <f>PAProjects[[#This Row],[GOU 22/23]]+PAProjects[[#This Row],[DONOR 22/23]]</f>
        <v>0</v>
      </c>
      <c r="X303" s="2"/>
      <c r="Y303" s="2"/>
      <c r="Z303" s="2">
        <f t="shared" si="49"/>
        <v>0</v>
      </c>
      <c r="AA303" s="2"/>
      <c r="AB303" s="2"/>
      <c r="AC303" s="49">
        <f>PAProjects[[#This Row],[GOU 24/25]]+PAProjects[[#This Row],[DONOR 24/25]]</f>
        <v>0</v>
      </c>
    </row>
    <row r="304" spans="1:29" ht="15" hidden="1" customHeight="1" x14ac:dyDescent="0.25">
      <c r="A304" s="21" t="s">
        <v>303</v>
      </c>
      <c r="B304" s="2" t="s">
        <v>1453</v>
      </c>
      <c r="C304" s="2" t="e">
        <f ca="1">PAProjects5[[#This Row],[LINKING_CODE]]=_xlfn.CONCAT(PAProjects5[[#This Row],[Project Code]]," ",PAProjects5[[#This Row],[Project Name]])</f>
        <v>#NAME?</v>
      </c>
      <c r="D304" s="2" t="e">
        <f>VLOOKUP(PAProjects5[[#This Row],[LINKING_CODE]],MasterTable[[Project Code and Name ]],1,FALSE)</f>
        <v>#N/A</v>
      </c>
      <c r="E304" s="2" t="s">
        <v>522</v>
      </c>
      <c r="F304" s="2" t="s">
        <v>1173</v>
      </c>
      <c r="G304" s="2" t="s">
        <v>68</v>
      </c>
      <c r="H304" s="2" t="s">
        <v>1272</v>
      </c>
      <c r="I304" s="2" t="s">
        <v>764</v>
      </c>
      <c r="J304" s="2" t="s">
        <v>765</v>
      </c>
      <c r="K304" s="2" t="s">
        <v>1509</v>
      </c>
      <c r="L304" s="23">
        <v>42552</v>
      </c>
      <c r="M304" s="23">
        <v>44742</v>
      </c>
      <c r="N304" s="24">
        <v>100.76</v>
      </c>
      <c r="O304" s="20"/>
      <c r="P304" s="20">
        <f t="shared" si="32"/>
        <v>100.76</v>
      </c>
      <c r="Q304" s="20">
        <f>SUMIFS(MasterTable[Estimate of Arrears at end of the current FY 2020/21 (value)],MasterTable[[Project Code and Name ]],PAProjects5[[#This Row],[LINKING_CODE]],MasterTable[Funding Source],"GoU Funded")/10^9</f>
        <v>0</v>
      </c>
      <c r="R304" s="2">
        <v>22.053285200000001</v>
      </c>
      <c r="S304" s="2"/>
      <c r="T304" s="49">
        <f>PAProjects[[#This Row],[GOU 21/22]]+PAProjects[[#This Row],[DONOR 21/22]]</f>
        <v>22.053285200000001</v>
      </c>
      <c r="U304" s="2"/>
      <c r="V304" s="2"/>
      <c r="W304" s="49">
        <f>PAProjects[[#This Row],[GOU 22/23]]+PAProjects[[#This Row],[DONOR 22/23]]</f>
        <v>0</v>
      </c>
      <c r="X304" s="2"/>
      <c r="Y304" s="2"/>
      <c r="Z304" s="2">
        <f t="shared" si="49"/>
        <v>0</v>
      </c>
      <c r="AA304" s="2"/>
      <c r="AB304" s="2"/>
      <c r="AC304" s="49">
        <f>PAProjects[[#This Row],[GOU 24/25]]+PAProjects[[#This Row],[DONOR 24/25]]</f>
        <v>0</v>
      </c>
    </row>
    <row r="305" spans="1:29" ht="15" hidden="1" customHeight="1" x14ac:dyDescent="0.25">
      <c r="A305" s="21" t="s">
        <v>304</v>
      </c>
      <c r="B305" s="2" t="s">
        <v>1454</v>
      </c>
      <c r="C305" s="2" t="e">
        <f ca="1">PAProjects5[[#This Row],[LINKING_CODE]]=_xlfn.CONCAT(PAProjects5[[#This Row],[Project Code]]," ",PAProjects5[[#This Row],[Project Name]])</f>
        <v>#NAME?</v>
      </c>
      <c r="D305" s="2" t="e">
        <f>VLOOKUP(PAProjects5[[#This Row],[LINKING_CODE]],MasterTable[[Project Code and Name ]],1,FALSE)</f>
        <v>#N/A</v>
      </c>
      <c r="E305" s="2" t="s">
        <v>522</v>
      </c>
      <c r="F305" s="2" t="s">
        <v>1173</v>
      </c>
      <c r="G305" s="2" t="s">
        <v>68</v>
      </c>
      <c r="H305" s="2" t="s">
        <v>1272</v>
      </c>
      <c r="I305" s="2" t="s">
        <v>766</v>
      </c>
      <c r="J305" s="2" t="s">
        <v>767</v>
      </c>
      <c r="K305" s="2" t="s">
        <v>1509</v>
      </c>
      <c r="L305" s="23">
        <v>42552</v>
      </c>
      <c r="M305" s="23">
        <v>44742</v>
      </c>
      <c r="N305" s="24">
        <v>60.4</v>
      </c>
      <c r="O305" s="20"/>
      <c r="P305" s="20">
        <f t="shared" si="32"/>
        <v>60.4</v>
      </c>
      <c r="Q305" s="20">
        <f>SUMIFS(MasterTable[Estimate of Arrears at end of the current FY 2020/21 (value)],MasterTable[[Project Code and Name ]],PAProjects5[[#This Row],[LINKING_CODE]],MasterTable[Funding Source],"GoU Funded")/10^9</f>
        <v>0</v>
      </c>
      <c r="R305" s="2">
        <v>25.473914059999998</v>
      </c>
      <c r="S305" s="2"/>
      <c r="T305" s="49">
        <f>PAProjects[[#This Row],[GOU 21/22]]+PAProjects[[#This Row],[DONOR 21/22]]</f>
        <v>25.473914059999998</v>
      </c>
      <c r="U305" s="2"/>
      <c r="V305" s="2"/>
      <c r="W305" s="49">
        <f>PAProjects[[#This Row],[GOU 22/23]]+PAProjects[[#This Row],[DONOR 22/23]]</f>
        <v>0</v>
      </c>
      <c r="X305" s="2"/>
      <c r="Y305" s="2"/>
      <c r="Z305" s="2">
        <f t="shared" si="49"/>
        <v>0</v>
      </c>
      <c r="AA305" s="2"/>
      <c r="AB305" s="2"/>
      <c r="AC305" s="49">
        <f>PAProjects[[#This Row],[GOU 24/25]]+PAProjects[[#This Row],[DONOR 24/25]]</f>
        <v>0</v>
      </c>
    </row>
    <row r="306" spans="1:29" ht="15" hidden="1" customHeight="1" x14ac:dyDescent="0.25">
      <c r="A306" s="21" t="s">
        <v>305</v>
      </c>
      <c r="B306" s="2" t="s">
        <v>1455</v>
      </c>
      <c r="C306" s="2" t="e">
        <f ca="1">PAProjects5[[#This Row],[LINKING_CODE]]=_xlfn.CONCAT(PAProjects5[[#This Row],[Project Code]]," ",PAProjects5[[#This Row],[Project Name]])</f>
        <v>#NAME?</v>
      </c>
      <c r="D306" s="2" t="e">
        <f>VLOOKUP(PAProjects5[[#This Row],[LINKING_CODE]],MasterTable[[Project Code and Name ]],1,FALSE)</f>
        <v>#N/A</v>
      </c>
      <c r="E306" s="2" t="s">
        <v>522</v>
      </c>
      <c r="F306" s="2" t="s">
        <v>1173</v>
      </c>
      <c r="G306" s="2" t="s">
        <v>68</v>
      </c>
      <c r="H306" s="2" t="s">
        <v>1272</v>
      </c>
      <c r="I306" s="2" t="s">
        <v>768</v>
      </c>
      <c r="J306" s="2" t="s">
        <v>769</v>
      </c>
      <c r="K306" s="2" t="s">
        <v>1509</v>
      </c>
      <c r="L306" s="23">
        <v>42552</v>
      </c>
      <c r="M306" s="23">
        <v>44742</v>
      </c>
      <c r="N306" s="24">
        <v>55.43</v>
      </c>
      <c r="O306" s="25">
        <v>157.44999999999999</v>
      </c>
      <c r="P306" s="20">
        <f t="shared" si="32"/>
        <v>212.88</v>
      </c>
      <c r="Q306" s="20">
        <f>SUMIFS(MasterTable[Estimate of Arrears at end of the current FY 2020/21 (value)],MasterTable[[Project Code and Name ]],PAProjects5[[#This Row],[LINKING_CODE]],MasterTable[Funding Source],"GoU Funded")/10^9</f>
        <v>0</v>
      </c>
      <c r="R306" s="2">
        <v>3.2</v>
      </c>
      <c r="S306" s="2"/>
      <c r="T306" s="49">
        <f>PAProjects[[#This Row],[GOU 21/22]]+PAProjects[[#This Row],[DONOR 21/22]]</f>
        <v>3.2</v>
      </c>
      <c r="U306" s="2"/>
      <c r="V306" s="2"/>
      <c r="W306" s="49">
        <f>PAProjects[[#This Row],[GOU 22/23]]+PAProjects[[#This Row],[DONOR 22/23]]</f>
        <v>0</v>
      </c>
      <c r="X306" s="2"/>
      <c r="Y306" s="2"/>
      <c r="Z306" s="2">
        <f t="shared" si="49"/>
        <v>0</v>
      </c>
      <c r="AA306" s="2"/>
      <c r="AB306" s="2"/>
      <c r="AC306" s="49">
        <f>PAProjects[[#This Row],[GOU 24/25]]+PAProjects[[#This Row],[DONOR 24/25]]</f>
        <v>0</v>
      </c>
    </row>
    <row r="307" spans="1:29" ht="15" hidden="1" customHeight="1" x14ac:dyDescent="0.25">
      <c r="A307" s="21" t="s">
        <v>306</v>
      </c>
      <c r="B307" s="2" t="s">
        <v>1456</v>
      </c>
      <c r="C307" s="2" t="e">
        <f ca="1">PAProjects5[[#This Row],[LINKING_CODE]]=_xlfn.CONCAT(PAProjects5[[#This Row],[Project Code]]," ",PAProjects5[[#This Row],[Project Name]])</f>
        <v>#NAME?</v>
      </c>
      <c r="D307" s="2" t="e">
        <f>VLOOKUP(PAProjects5[[#This Row],[LINKING_CODE]],MasterTable[[Project Code and Name ]],1,FALSE)</f>
        <v>#N/A</v>
      </c>
      <c r="E307" s="2" t="s">
        <v>522</v>
      </c>
      <c r="F307" s="2" t="s">
        <v>1173</v>
      </c>
      <c r="G307" s="2" t="s">
        <v>68</v>
      </c>
      <c r="H307" s="2" t="s">
        <v>1272</v>
      </c>
      <c r="I307" s="2" t="s">
        <v>770</v>
      </c>
      <c r="J307" s="2" t="s">
        <v>771</v>
      </c>
      <c r="K307" s="2" t="s">
        <v>1509</v>
      </c>
      <c r="L307" s="23">
        <v>42552</v>
      </c>
      <c r="M307" s="23">
        <v>44742</v>
      </c>
      <c r="N307" s="24">
        <v>103.76909999999999</v>
      </c>
      <c r="O307" s="25">
        <v>282.75</v>
      </c>
      <c r="P307" s="20">
        <f t="shared" si="32"/>
        <v>386.51909999999998</v>
      </c>
      <c r="Q307" s="20">
        <f>SUMIFS(MasterTable[Estimate of Arrears at end of the current FY 2020/21 (value)],MasterTable[[Project Code and Name ]],PAProjects5[[#This Row],[LINKING_CODE]],MasterTable[Funding Source],"GoU Funded")/10^9</f>
        <v>0</v>
      </c>
      <c r="R307" s="2"/>
      <c r="S307" s="2">
        <v>98.618695254000002</v>
      </c>
      <c r="T307" s="49">
        <f>PAProjects[[#This Row],[GOU 21/22]]+PAProjects[[#This Row],[DONOR 21/22]]</f>
        <v>98.618695254000002</v>
      </c>
      <c r="U307" s="2"/>
      <c r="V307" s="2"/>
      <c r="W307" s="49">
        <f>PAProjects[[#This Row],[GOU 22/23]]+PAProjects[[#This Row],[DONOR 22/23]]</f>
        <v>0</v>
      </c>
      <c r="X307" s="2"/>
      <c r="Y307" s="2"/>
      <c r="Z307" s="2">
        <f t="shared" si="49"/>
        <v>0</v>
      </c>
      <c r="AA307" s="2"/>
      <c r="AB307" s="2"/>
      <c r="AC307" s="49">
        <f>PAProjects[[#This Row],[GOU 24/25]]+PAProjects[[#This Row],[DONOR 24/25]]</f>
        <v>0</v>
      </c>
    </row>
    <row r="308" spans="1:29" ht="15" hidden="1" customHeight="1" x14ac:dyDescent="0.25">
      <c r="A308" s="21" t="s">
        <v>307</v>
      </c>
      <c r="B308" s="2" t="s">
        <v>1457</v>
      </c>
      <c r="C308" s="2" t="e">
        <f ca="1">PAProjects5[[#This Row],[LINKING_CODE]]=_xlfn.CONCAT(PAProjects5[[#This Row],[Project Code]]," ",PAProjects5[[#This Row],[Project Name]])</f>
        <v>#NAME?</v>
      </c>
      <c r="D308" s="2" t="e">
        <f>VLOOKUP(PAProjects5[[#This Row],[LINKING_CODE]],MasterTable[[Project Code and Name ]],1,FALSE)</f>
        <v>#N/A</v>
      </c>
      <c r="E308" s="2" t="s">
        <v>522</v>
      </c>
      <c r="F308" s="2" t="s">
        <v>1173</v>
      </c>
      <c r="G308" s="2" t="s">
        <v>68</v>
      </c>
      <c r="H308" s="2" t="s">
        <v>1272</v>
      </c>
      <c r="I308" s="2" t="s">
        <v>772</v>
      </c>
      <c r="J308" s="2" t="s">
        <v>773</v>
      </c>
      <c r="K308" s="2" t="s">
        <v>1509</v>
      </c>
      <c r="L308" s="23">
        <v>42917</v>
      </c>
      <c r="M308" s="23">
        <v>44742</v>
      </c>
      <c r="N308" s="24">
        <v>4.5140000000000002</v>
      </c>
      <c r="O308" s="25">
        <v>42.75</v>
      </c>
      <c r="P308" s="20">
        <f t="shared" ref="P308:P329" si="50">SUM(N308:O308)</f>
        <v>47.264000000000003</v>
      </c>
      <c r="Q308" s="20">
        <f>SUMIFS(MasterTable[Estimate of Arrears at end of the current FY 2020/21 (value)],MasterTable[[Project Code and Name ]],PAProjects5[[#This Row],[LINKING_CODE]],MasterTable[Funding Source],"GoU Funded")/10^9</f>
        <v>0</v>
      </c>
      <c r="R308" s="2">
        <v>4.601</v>
      </c>
      <c r="S308" s="2"/>
      <c r="T308" s="49">
        <f>PAProjects[[#This Row],[GOU 21/22]]+PAProjects[[#This Row],[DONOR 21/22]]</f>
        <v>4.601</v>
      </c>
      <c r="U308" s="2"/>
      <c r="V308" s="2"/>
      <c r="W308" s="49">
        <f>PAProjects[[#This Row],[GOU 22/23]]+PAProjects[[#This Row],[DONOR 22/23]]</f>
        <v>0</v>
      </c>
      <c r="X308" s="2"/>
      <c r="Y308" s="2"/>
      <c r="Z308" s="2">
        <f t="shared" si="49"/>
        <v>0</v>
      </c>
      <c r="AA308" s="2"/>
      <c r="AB308" s="2"/>
      <c r="AC308" s="49">
        <f>PAProjects[[#This Row],[GOU 24/25]]+PAProjects[[#This Row],[DONOR 24/25]]</f>
        <v>0</v>
      </c>
    </row>
    <row r="309" spans="1:29" ht="15" hidden="1" customHeight="1" x14ac:dyDescent="0.25">
      <c r="A309" s="21" t="s">
        <v>308</v>
      </c>
      <c r="B309" s="2" t="s">
        <v>1458</v>
      </c>
      <c r="C309" s="2" t="e">
        <f ca="1">PAProjects5[[#This Row],[LINKING_CODE]]=_xlfn.CONCAT(PAProjects5[[#This Row],[Project Code]]," ",PAProjects5[[#This Row],[Project Name]])</f>
        <v>#NAME?</v>
      </c>
      <c r="D309" s="2" t="e">
        <f>VLOOKUP(PAProjects5[[#This Row],[LINKING_CODE]],MasterTable[[Project Code and Name ]],1,FALSE)</f>
        <v>#N/A</v>
      </c>
      <c r="E309" s="2" t="s">
        <v>522</v>
      </c>
      <c r="F309" s="2" t="s">
        <v>1173</v>
      </c>
      <c r="G309" s="2" t="s">
        <v>68</v>
      </c>
      <c r="H309" s="2" t="s">
        <v>1272</v>
      </c>
      <c r="I309" s="2" t="s">
        <v>758</v>
      </c>
      <c r="J309" s="2" t="s">
        <v>759</v>
      </c>
      <c r="K309" s="2" t="s">
        <v>1509</v>
      </c>
      <c r="L309" s="23">
        <v>42917</v>
      </c>
      <c r="M309" s="23">
        <v>44742</v>
      </c>
      <c r="N309" s="24">
        <v>90</v>
      </c>
      <c r="O309" s="20"/>
      <c r="P309" s="20">
        <f t="shared" si="50"/>
        <v>90</v>
      </c>
      <c r="Q309" s="20">
        <f>SUMIFS(MasterTable[Estimate of Arrears at end of the current FY 2020/21 (value)],MasterTable[[Project Code and Name ]],PAProjects5[[#This Row],[LINKING_CODE]],MasterTable[Funding Source],"GoU Funded")/10^9</f>
        <v>0</v>
      </c>
      <c r="R309" s="2">
        <v>40</v>
      </c>
      <c r="S309" s="2"/>
      <c r="T309" s="49">
        <f>PAProjects[[#This Row],[GOU 21/22]]+PAProjects[[#This Row],[DONOR 21/22]]</f>
        <v>40</v>
      </c>
      <c r="U309" s="2"/>
      <c r="V309" s="2"/>
      <c r="W309" s="49">
        <f>PAProjects[[#This Row],[GOU 22/23]]+PAProjects[[#This Row],[DONOR 22/23]]</f>
        <v>0</v>
      </c>
      <c r="X309" s="2"/>
      <c r="Y309" s="2"/>
      <c r="Z309" s="2">
        <f t="shared" si="49"/>
        <v>0</v>
      </c>
      <c r="AA309" s="2"/>
      <c r="AB309" s="2"/>
      <c r="AC309" s="49">
        <f>PAProjects[[#This Row],[GOU 24/25]]+PAProjects[[#This Row],[DONOR 24/25]]</f>
        <v>0</v>
      </c>
    </row>
    <row r="310" spans="1:29" ht="15" hidden="1" customHeight="1" x14ac:dyDescent="0.25">
      <c r="A310" s="21" t="s">
        <v>309</v>
      </c>
      <c r="B310" s="2" t="s">
        <v>1459</v>
      </c>
      <c r="C310" s="2" t="e">
        <f ca="1">PAProjects5[[#This Row],[LINKING_CODE]]=_xlfn.CONCAT(PAProjects5[[#This Row],[Project Code]]," ",PAProjects5[[#This Row],[Project Name]])</f>
        <v>#NAME?</v>
      </c>
      <c r="D310" s="2" t="e">
        <f>VLOOKUP(PAProjects5[[#This Row],[LINKING_CODE]],MasterTable[[Project Code and Name ]],1,FALSE)</f>
        <v>#N/A</v>
      </c>
      <c r="E310" s="2" t="s">
        <v>522</v>
      </c>
      <c r="F310" s="2" t="s">
        <v>1173</v>
      </c>
      <c r="G310" s="2" t="s">
        <v>68</v>
      </c>
      <c r="H310" s="2" t="s">
        <v>1272</v>
      </c>
      <c r="I310" s="2" t="s">
        <v>774</v>
      </c>
      <c r="J310" s="2" t="s">
        <v>1274</v>
      </c>
      <c r="K310" s="2" t="s">
        <v>1509</v>
      </c>
      <c r="L310" s="23">
        <v>42917</v>
      </c>
      <c r="M310" s="23">
        <v>44742</v>
      </c>
      <c r="N310" s="24">
        <v>1.36</v>
      </c>
      <c r="O310" s="25">
        <v>27.393000000000001</v>
      </c>
      <c r="P310" s="20">
        <f t="shared" si="50"/>
        <v>28.753</v>
      </c>
      <c r="Q310" s="20">
        <f>SUMIFS(MasterTable[Estimate of Arrears at end of the current FY 2020/21 (value)],MasterTable[[Project Code and Name ]],PAProjects5[[#This Row],[LINKING_CODE]],MasterTable[Funding Source],"GoU Funded")/10^9</f>
        <v>0</v>
      </c>
      <c r="R310" s="2">
        <v>8.7149999999999999</v>
      </c>
      <c r="S310" s="2"/>
      <c r="T310" s="49">
        <f>PAProjects[[#This Row],[GOU 21/22]]+PAProjects[[#This Row],[DONOR 21/22]]</f>
        <v>8.7149999999999999</v>
      </c>
      <c r="U310" s="2"/>
      <c r="V310" s="2"/>
      <c r="W310" s="49">
        <f>PAProjects[[#This Row],[GOU 22/23]]+PAProjects[[#This Row],[DONOR 22/23]]</f>
        <v>0</v>
      </c>
      <c r="X310" s="2"/>
      <c r="Y310" s="2"/>
      <c r="Z310" s="2">
        <f t="shared" si="49"/>
        <v>0</v>
      </c>
      <c r="AA310" s="2"/>
      <c r="AB310" s="2"/>
      <c r="AC310" s="49">
        <f>PAProjects[[#This Row],[GOU 24/25]]+PAProjects[[#This Row],[DONOR 24/25]]</f>
        <v>0</v>
      </c>
    </row>
    <row r="311" spans="1:29" ht="15" hidden="1" customHeight="1" x14ac:dyDescent="0.25">
      <c r="A311" s="21" t="s">
        <v>311</v>
      </c>
      <c r="B311" s="2" t="s">
        <v>1460</v>
      </c>
      <c r="C311" s="2" t="e">
        <f ca="1">PAProjects5[[#This Row],[LINKING_CODE]]=_xlfn.CONCAT(PAProjects5[[#This Row],[Project Code]]," ",PAProjects5[[#This Row],[Project Name]])</f>
        <v>#NAME?</v>
      </c>
      <c r="D311" s="2" t="e">
        <f>VLOOKUP(PAProjects5[[#This Row],[LINKING_CODE]],MasterTable[[Project Code and Name ]],1,FALSE)</f>
        <v>#N/A</v>
      </c>
      <c r="E311" s="2" t="s">
        <v>522</v>
      </c>
      <c r="F311" s="2" t="s">
        <v>1173</v>
      </c>
      <c r="G311" s="2" t="s">
        <v>68</v>
      </c>
      <c r="H311" s="2" t="s">
        <v>1272</v>
      </c>
      <c r="I311" s="2" t="s">
        <v>777</v>
      </c>
      <c r="J311" s="2" t="s">
        <v>1275</v>
      </c>
      <c r="K311" s="2" t="s">
        <v>1509</v>
      </c>
      <c r="L311" s="23">
        <v>43647</v>
      </c>
      <c r="M311" s="23">
        <v>44742</v>
      </c>
      <c r="N311" s="24">
        <v>32.450000000000003</v>
      </c>
      <c r="O311" s="20"/>
      <c r="P311" s="20">
        <f t="shared" si="50"/>
        <v>32.450000000000003</v>
      </c>
      <c r="Q311" s="20">
        <f>SUMIFS(MasterTable[Estimate of Arrears at end of the current FY 2020/21 (value)],MasterTable[[Project Code and Name ]],PAProjects5[[#This Row],[LINKING_CODE]],MasterTable[Funding Source],"GoU Funded")/10^9</f>
        <v>0</v>
      </c>
      <c r="R311" s="2">
        <v>10.004524999999999</v>
      </c>
      <c r="S311" s="2"/>
      <c r="T311" s="49">
        <f>PAProjects[[#This Row],[GOU 21/22]]+PAProjects[[#This Row],[DONOR 21/22]]</f>
        <v>10.004524999999999</v>
      </c>
      <c r="U311" s="2">
        <v>12.080203750000001</v>
      </c>
      <c r="V311" s="2"/>
      <c r="W311" s="49">
        <f>PAProjects[[#This Row],[GOU 22/23]]+PAProjects[[#This Row],[DONOR 22/23]]</f>
        <v>12.080203750000001</v>
      </c>
      <c r="X311" s="2">
        <v>13.892234312499999</v>
      </c>
      <c r="Y311" s="2"/>
      <c r="Z311" s="2">
        <f t="shared" si="49"/>
        <v>13.892234312499999</v>
      </c>
      <c r="AA311" s="2"/>
      <c r="AB311" s="2"/>
      <c r="AC311" s="49">
        <f>PAProjects[[#This Row],[GOU 24/25]]+PAProjects[[#This Row],[DONOR 24/25]]</f>
        <v>0</v>
      </c>
    </row>
    <row r="312" spans="1:29" ht="15" hidden="1" customHeight="1" x14ac:dyDescent="0.25">
      <c r="A312" s="21" t="s">
        <v>312</v>
      </c>
      <c r="B312" s="2" t="s">
        <v>1461</v>
      </c>
      <c r="C312" s="2" t="e">
        <f ca="1">PAProjects5[[#This Row],[LINKING_CODE]]=_xlfn.CONCAT(PAProjects5[[#This Row],[Project Code]]," ",PAProjects5[[#This Row],[Project Name]])</f>
        <v>#NAME?</v>
      </c>
      <c r="D312" s="2" t="e">
        <f>VLOOKUP(PAProjects5[[#This Row],[LINKING_CODE]],MasterTable[[Project Code and Name ]],1,FALSE)</f>
        <v>#N/A</v>
      </c>
      <c r="E312" s="2" t="s">
        <v>522</v>
      </c>
      <c r="F312" s="2" t="s">
        <v>1173</v>
      </c>
      <c r="G312" s="2" t="s">
        <v>68</v>
      </c>
      <c r="H312" s="2" t="s">
        <v>1272</v>
      </c>
      <c r="I312" s="2" t="s">
        <v>778</v>
      </c>
      <c r="J312" s="2" t="s">
        <v>779</v>
      </c>
      <c r="K312" s="2" t="s">
        <v>1509</v>
      </c>
      <c r="L312" s="23">
        <v>43647</v>
      </c>
      <c r="M312" s="23">
        <v>44742</v>
      </c>
      <c r="N312" s="24">
        <v>530.15499999999997</v>
      </c>
      <c r="O312" s="20"/>
      <c r="P312" s="20">
        <f t="shared" si="50"/>
        <v>530.15499999999997</v>
      </c>
      <c r="Q312" s="20">
        <f>SUMIFS(MasterTable[Estimate of Arrears at end of the current FY 2020/21 (value)],MasterTable[[Project Code and Name ]],PAProjects5[[#This Row],[LINKING_CODE]],MasterTable[Funding Source],"GoU Funded")/10^9</f>
        <v>0</v>
      </c>
      <c r="R312" s="2">
        <v>27.262398975</v>
      </c>
      <c r="S312" s="2"/>
      <c r="T312" s="49">
        <f>PAProjects[[#This Row],[GOU 21/22]]+PAProjects[[#This Row],[DONOR 21/22]]</f>
        <v>27.262398975</v>
      </c>
      <c r="U312" s="2">
        <v>23.262</v>
      </c>
      <c r="V312" s="2"/>
      <c r="W312" s="49">
        <f>PAProjects[[#This Row],[GOU 22/23]]+PAProjects[[#This Row],[DONOR 22/23]]</f>
        <v>23.262</v>
      </c>
      <c r="X312" s="2">
        <v>23.262</v>
      </c>
      <c r="Y312" s="2"/>
      <c r="Z312" s="2">
        <f t="shared" si="49"/>
        <v>23.262</v>
      </c>
      <c r="AA312" s="2"/>
      <c r="AB312" s="2"/>
      <c r="AC312" s="49">
        <f>PAProjects[[#This Row],[GOU 24/25]]+PAProjects[[#This Row],[DONOR 24/25]]</f>
        <v>0</v>
      </c>
    </row>
    <row r="313" spans="1:29" ht="15" hidden="1" customHeight="1" x14ac:dyDescent="0.25">
      <c r="A313" s="21" t="s">
        <v>313</v>
      </c>
      <c r="B313" s="2" t="s">
        <v>1462</v>
      </c>
      <c r="C313" s="2" t="e">
        <f ca="1">PAProjects5[[#This Row],[LINKING_CODE]]=_xlfn.CONCAT(PAProjects5[[#This Row],[Project Code]]," ",PAProjects5[[#This Row],[Project Name]])</f>
        <v>#NAME?</v>
      </c>
      <c r="D313" s="2" t="e">
        <f>VLOOKUP(PAProjects5[[#This Row],[LINKING_CODE]],MasterTable[[Project Code and Name ]],1,FALSE)</f>
        <v>#N/A</v>
      </c>
      <c r="E313" s="2" t="s">
        <v>522</v>
      </c>
      <c r="F313" s="2" t="s">
        <v>1173</v>
      </c>
      <c r="G313" s="2" t="s">
        <v>68</v>
      </c>
      <c r="H313" s="2" t="s">
        <v>1272</v>
      </c>
      <c r="I313" s="2" t="s">
        <v>780</v>
      </c>
      <c r="J313" s="2" t="s">
        <v>781</v>
      </c>
      <c r="K313" s="2" t="s">
        <v>1509</v>
      </c>
      <c r="L313" s="23">
        <v>43647</v>
      </c>
      <c r="M313" s="23">
        <v>44742</v>
      </c>
      <c r="N313" s="24">
        <v>75</v>
      </c>
      <c r="O313" s="25">
        <v>120.8</v>
      </c>
      <c r="P313" s="20">
        <f t="shared" si="50"/>
        <v>195.8</v>
      </c>
      <c r="Q313" s="20">
        <f>SUMIFS(MasterTable[Estimate of Arrears at end of the current FY 2020/21 (value)],MasterTable[[Project Code and Name ]],PAProjects5[[#This Row],[LINKING_CODE]],MasterTable[Funding Source],"GoU Funded")/10^9</f>
        <v>0</v>
      </c>
      <c r="R313" s="2">
        <v>36.524990000000003</v>
      </c>
      <c r="S313" s="2"/>
      <c r="T313" s="49">
        <f>PAProjects[[#This Row],[GOU 21/22]]+PAProjects[[#This Row],[DONOR 21/22]]</f>
        <v>36.524990000000003</v>
      </c>
      <c r="U313" s="2">
        <v>15.525</v>
      </c>
      <c r="V313" s="2"/>
      <c r="W313" s="49">
        <f>PAProjects[[#This Row],[GOU 22/23]]+PAProjects[[#This Row],[DONOR 22/23]]</f>
        <v>15.525</v>
      </c>
      <c r="X313" s="2">
        <v>15.525</v>
      </c>
      <c r="Y313" s="2"/>
      <c r="Z313" s="2">
        <f t="shared" si="49"/>
        <v>15.525</v>
      </c>
      <c r="AA313" s="2"/>
      <c r="AB313" s="2"/>
      <c r="AC313" s="49">
        <f>PAProjects[[#This Row],[GOU 24/25]]+PAProjects[[#This Row],[DONOR 24/25]]</f>
        <v>0</v>
      </c>
    </row>
    <row r="314" spans="1:29" ht="15" hidden="1" customHeight="1" x14ac:dyDescent="0.25">
      <c r="A314" s="21" t="s">
        <v>314</v>
      </c>
      <c r="B314" s="2" t="s">
        <v>1463</v>
      </c>
      <c r="C314" s="2" t="e">
        <f ca="1">PAProjects5[[#This Row],[LINKING_CODE]]=_xlfn.CONCAT(PAProjects5[[#This Row],[Project Code]]," ",PAProjects5[[#This Row],[Project Name]])</f>
        <v>#NAME?</v>
      </c>
      <c r="D314" s="2" t="e">
        <f>VLOOKUP(PAProjects5[[#This Row],[LINKING_CODE]],MasterTable[[Project Code and Name ]],1,FALSE)</f>
        <v>#N/A</v>
      </c>
      <c r="E314" s="2" t="s">
        <v>522</v>
      </c>
      <c r="F314" s="2" t="s">
        <v>1173</v>
      </c>
      <c r="G314" s="2" t="s">
        <v>68</v>
      </c>
      <c r="H314" s="2" t="s">
        <v>1272</v>
      </c>
      <c r="I314" s="2" t="s">
        <v>782</v>
      </c>
      <c r="J314" s="2" t="s">
        <v>783</v>
      </c>
      <c r="K314" s="2" t="s">
        <v>1509</v>
      </c>
      <c r="L314" s="23">
        <v>43647</v>
      </c>
      <c r="M314" s="23">
        <v>44742</v>
      </c>
      <c r="N314" s="24">
        <v>169.9</v>
      </c>
      <c r="O314" s="25">
        <v>95.74</v>
      </c>
      <c r="P314" s="20">
        <f t="shared" si="50"/>
        <v>265.64</v>
      </c>
      <c r="Q314" s="20">
        <f>SUMIFS(MasterTable[Estimate of Arrears at end of the current FY 2020/21 (value)],MasterTable[[Project Code and Name ]],PAProjects5[[#This Row],[LINKING_CODE]],MasterTable[Funding Source],"GoU Funded")/10^9</f>
        <v>0</v>
      </c>
      <c r="R314" s="2">
        <v>24.057929999999999</v>
      </c>
      <c r="S314" s="2"/>
      <c r="T314" s="49">
        <f>PAProjects[[#This Row],[GOU 21/22]]+PAProjects[[#This Row],[DONOR 21/22]]</f>
        <v>24.057929999999999</v>
      </c>
      <c r="U314" s="2">
        <v>14.958</v>
      </c>
      <c r="V314" s="2"/>
      <c r="W314" s="49">
        <f>PAProjects[[#This Row],[GOU 22/23]]+PAProjects[[#This Row],[DONOR 22/23]]</f>
        <v>14.958</v>
      </c>
      <c r="X314" s="2">
        <v>14.958</v>
      </c>
      <c r="Y314" s="2"/>
      <c r="Z314" s="2">
        <f t="shared" si="49"/>
        <v>14.958</v>
      </c>
      <c r="AA314" s="2"/>
      <c r="AB314" s="2"/>
      <c r="AC314" s="49">
        <f>PAProjects[[#This Row],[GOU 24/25]]+PAProjects[[#This Row],[DONOR 24/25]]</f>
        <v>0</v>
      </c>
    </row>
    <row r="315" spans="1:29" ht="15" hidden="1" customHeight="1" x14ac:dyDescent="0.25">
      <c r="A315" s="21" t="s">
        <v>315</v>
      </c>
      <c r="B315" s="2" t="s">
        <v>1464</v>
      </c>
      <c r="C315" s="2" t="e">
        <f ca="1">PAProjects5[[#This Row],[LINKING_CODE]]=_xlfn.CONCAT(PAProjects5[[#This Row],[Project Code]]," ",PAProjects5[[#This Row],[Project Name]])</f>
        <v>#NAME?</v>
      </c>
      <c r="D315" s="2" t="e">
        <f>VLOOKUP(PAProjects5[[#This Row],[LINKING_CODE]],MasterTable[[Project Code and Name ]],1,FALSE)</f>
        <v>#N/A</v>
      </c>
      <c r="E315" s="2" t="s">
        <v>522</v>
      </c>
      <c r="F315" s="2" t="s">
        <v>1173</v>
      </c>
      <c r="G315" s="2" t="s">
        <v>68</v>
      </c>
      <c r="H315" s="2" t="s">
        <v>1272</v>
      </c>
      <c r="I315" s="2" t="s">
        <v>784</v>
      </c>
      <c r="J315" s="2" t="s">
        <v>785</v>
      </c>
      <c r="K315" s="2" t="s">
        <v>1509</v>
      </c>
      <c r="L315" s="23">
        <v>43647</v>
      </c>
      <c r="M315" s="23">
        <v>44742</v>
      </c>
      <c r="N315" s="24">
        <v>25.058</v>
      </c>
      <c r="O315" s="25">
        <v>225.74799999999999</v>
      </c>
      <c r="P315" s="20">
        <f t="shared" si="50"/>
        <v>250.80599999999998</v>
      </c>
      <c r="Q315" s="20">
        <f>SUMIFS(MasterTable[Estimate of Arrears at end of the current FY 2020/21 (value)],MasterTable[[Project Code and Name ]],PAProjects5[[#This Row],[LINKING_CODE]],MasterTable[Funding Source],"GoU Funded")/10^9</f>
        <v>0</v>
      </c>
      <c r="R315" s="2">
        <v>6.0118</v>
      </c>
      <c r="S315" s="2">
        <v>25.94</v>
      </c>
      <c r="T315" s="49">
        <f>PAProjects[[#This Row],[GOU 21/22]]+PAProjects[[#This Row],[DONOR 21/22]]</f>
        <v>31.951800000000002</v>
      </c>
      <c r="U315" s="2">
        <v>31.952000000000002</v>
      </c>
      <c r="V315" s="2"/>
      <c r="W315" s="49">
        <f>PAProjects[[#This Row],[GOU 22/23]]+PAProjects[[#This Row],[DONOR 22/23]]</f>
        <v>31.952000000000002</v>
      </c>
      <c r="X315" s="2">
        <v>31.952000000000002</v>
      </c>
      <c r="Y315" s="2"/>
      <c r="Z315" s="2">
        <f t="shared" si="49"/>
        <v>31.952000000000002</v>
      </c>
      <c r="AA315" s="2"/>
      <c r="AB315" s="2"/>
      <c r="AC315" s="49">
        <f>PAProjects[[#This Row],[GOU 24/25]]+PAProjects[[#This Row],[DONOR 24/25]]</f>
        <v>0</v>
      </c>
    </row>
    <row r="316" spans="1:29" ht="15" hidden="1" customHeight="1" x14ac:dyDescent="0.25">
      <c r="A316" s="21" t="s">
        <v>316</v>
      </c>
      <c r="B316" s="2" t="s">
        <v>1465</v>
      </c>
      <c r="C316" s="2" t="e">
        <f ca="1">PAProjects5[[#This Row],[LINKING_CODE]]=_xlfn.CONCAT(PAProjects5[[#This Row],[Project Code]]," ",PAProjects5[[#This Row],[Project Name]])</f>
        <v>#NAME?</v>
      </c>
      <c r="D316" s="2" t="e">
        <f>VLOOKUP(PAProjects5[[#This Row],[LINKING_CODE]],MasterTable[[Project Code and Name ]],1,FALSE)</f>
        <v>#N/A</v>
      </c>
      <c r="E316" s="2" t="s">
        <v>522</v>
      </c>
      <c r="F316" s="2" t="s">
        <v>1173</v>
      </c>
      <c r="G316" s="2" t="s">
        <v>68</v>
      </c>
      <c r="H316" s="2" t="s">
        <v>1272</v>
      </c>
      <c r="I316" s="2" t="s">
        <v>786</v>
      </c>
      <c r="J316" s="2" t="s">
        <v>787</v>
      </c>
      <c r="K316" s="2" t="s">
        <v>1509</v>
      </c>
      <c r="L316" s="23">
        <v>43647</v>
      </c>
      <c r="M316" s="23">
        <v>44742</v>
      </c>
      <c r="N316" s="24">
        <v>29.704000000000001</v>
      </c>
      <c r="O316" s="25">
        <v>1132.4649999999999</v>
      </c>
      <c r="P316" s="20">
        <f t="shared" si="50"/>
        <v>1162.1689999999999</v>
      </c>
      <c r="Q316" s="20">
        <f>SUMIFS(MasterTable[Estimate of Arrears at end of the current FY 2020/21 (value)],MasterTable[[Project Code and Name ]],PAProjects5[[#This Row],[LINKING_CODE]],MasterTable[Funding Source],"GoU Funded")/10^9</f>
        <v>0</v>
      </c>
      <c r="R316" s="2">
        <v>2.2309999999999999</v>
      </c>
      <c r="S316" s="2">
        <v>188.43576694999999</v>
      </c>
      <c r="T316" s="49">
        <f>PAProjects[[#This Row],[GOU 21/22]]+PAProjects[[#This Row],[DONOR 21/22]]</f>
        <v>190.66676694999998</v>
      </c>
      <c r="U316" s="2">
        <v>54.866999999999997</v>
      </c>
      <c r="V316" s="2"/>
      <c r="W316" s="49">
        <f>PAProjects[[#This Row],[GOU 22/23]]+PAProjects[[#This Row],[DONOR 22/23]]</f>
        <v>54.866999999999997</v>
      </c>
      <c r="X316" s="2">
        <v>54.866999999999997</v>
      </c>
      <c r="Y316" s="2"/>
      <c r="Z316" s="2">
        <f t="shared" si="49"/>
        <v>54.866999999999997</v>
      </c>
      <c r="AA316" s="2"/>
      <c r="AB316" s="2"/>
      <c r="AC316" s="49">
        <f>PAProjects[[#This Row],[GOU 24/25]]+PAProjects[[#This Row],[DONOR 24/25]]</f>
        <v>0</v>
      </c>
    </row>
    <row r="317" spans="1:29" ht="15" hidden="1" customHeight="1" x14ac:dyDescent="0.25">
      <c r="A317" s="21" t="s">
        <v>317</v>
      </c>
      <c r="B317" s="2" t="s">
        <v>1466</v>
      </c>
      <c r="C317" s="2" t="e">
        <f ca="1">PAProjects5[[#This Row],[LINKING_CODE]]=_xlfn.CONCAT(PAProjects5[[#This Row],[Project Code]]," ",PAProjects5[[#This Row],[Project Name]])</f>
        <v>#NAME?</v>
      </c>
      <c r="D317" s="2" t="e">
        <f>VLOOKUP(PAProjects5[[#This Row],[LINKING_CODE]],MasterTable[[Project Code and Name ]],1,FALSE)</f>
        <v>#N/A</v>
      </c>
      <c r="E317" s="2" t="s">
        <v>522</v>
      </c>
      <c r="F317" s="2" t="s">
        <v>1173</v>
      </c>
      <c r="G317" s="2" t="s">
        <v>68</v>
      </c>
      <c r="H317" s="2" t="s">
        <v>1272</v>
      </c>
      <c r="I317" s="2" t="s">
        <v>788</v>
      </c>
      <c r="J317" s="2" t="s">
        <v>789</v>
      </c>
      <c r="K317" s="2" t="s">
        <v>1509</v>
      </c>
      <c r="L317" s="23">
        <v>43647</v>
      </c>
      <c r="M317" s="23">
        <v>44742</v>
      </c>
      <c r="N317" s="24"/>
      <c r="O317" s="45">
        <v>519937</v>
      </c>
      <c r="P317" s="20">
        <f t="shared" si="50"/>
        <v>519937</v>
      </c>
      <c r="Q317" s="20">
        <f>SUMIFS(MasterTable[Estimate of Arrears at end of the current FY 2020/21 (value)],MasterTable[[Project Code and Name ]],PAProjects5[[#This Row],[LINKING_CODE]],MasterTable[Funding Source],"GoU Funded")/10^9</f>
        <v>0</v>
      </c>
      <c r="R317" s="2"/>
      <c r="S317" s="2">
        <v>146</v>
      </c>
      <c r="T317" s="49">
        <f>PAProjects[[#This Row],[GOU 21/22]]+PAProjects[[#This Row],[DONOR 21/22]]</f>
        <v>146</v>
      </c>
      <c r="U317" s="2">
        <v>146</v>
      </c>
      <c r="V317" s="2"/>
      <c r="W317" s="49">
        <f>PAProjects[[#This Row],[GOU 22/23]]+PAProjects[[#This Row],[DONOR 22/23]]</f>
        <v>146</v>
      </c>
      <c r="X317" s="2">
        <v>146</v>
      </c>
      <c r="Y317" s="2"/>
      <c r="Z317" s="2">
        <f t="shared" si="49"/>
        <v>146</v>
      </c>
      <c r="AA317" s="2"/>
      <c r="AB317" s="2"/>
      <c r="AC317" s="49">
        <f>PAProjects[[#This Row],[GOU 24/25]]+PAProjects[[#This Row],[DONOR 24/25]]</f>
        <v>0</v>
      </c>
    </row>
    <row r="318" spans="1:29" ht="15" hidden="1" customHeight="1" x14ac:dyDescent="0.25">
      <c r="A318" s="21" t="s">
        <v>318</v>
      </c>
      <c r="B318" s="2" t="s">
        <v>1467</v>
      </c>
      <c r="C318" s="2" t="e">
        <f ca="1">PAProjects5[[#This Row],[LINKING_CODE]]=_xlfn.CONCAT(PAProjects5[[#This Row],[Project Code]]," ",PAProjects5[[#This Row],[Project Name]])</f>
        <v>#NAME?</v>
      </c>
      <c r="D318" s="2" t="e">
        <f>VLOOKUP(PAProjects5[[#This Row],[LINKING_CODE]],MasterTable[[Project Code and Name ]],1,FALSE)</f>
        <v>#N/A</v>
      </c>
      <c r="E318" s="2" t="s">
        <v>522</v>
      </c>
      <c r="F318" s="2" t="s">
        <v>1173</v>
      </c>
      <c r="G318" s="2" t="s">
        <v>68</v>
      </c>
      <c r="H318" s="2" t="s">
        <v>1272</v>
      </c>
      <c r="I318" s="2" t="s">
        <v>790</v>
      </c>
      <c r="J318" s="2" t="s">
        <v>1276</v>
      </c>
      <c r="K318" s="2" t="s">
        <v>1509</v>
      </c>
      <c r="L318" s="23">
        <v>43647</v>
      </c>
      <c r="M318" s="23">
        <v>44742</v>
      </c>
      <c r="N318" s="24">
        <v>335.05200000000002</v>
      </c>
      <c r="O318" s="20"/>
      <c r="P318" s="20">
        <f t="shared" si="50"/>
        <v>335.05200000000002</v>
      </c>
      <c r="Q318" s="20">
        <f>SUMIFS(MasterTable[Estimate of Arrears at end of the current FY 2020/21 (value)],MasterTable[[Project Code and Name ]],PAProjects5[[#This Row],[LINKING_CODE]],MasterTable[Funding Source],"GoU Funded")/10^9</f>
        <v>0</v>
      </c>
      <c r="R318" s="2">
        <v>26.006429376</v>
      </c>
      <c r="S318" s="2"/>
      <c r="T318" s="49">
        <f>PAProjects[[#This Row],[GOU 21/22]]+PAProjects[[#This Row],[DONOR 21/22]]</f>
        <v>26.006429376</v>
      </c>
      <c r="U318" s="2">
        <v>28.006</v>
      </c>
      <c r="V318" s="2"/>
      <c r="W318" s="49">
        <f>PAProjects[[#This Row],[GOU 22/23]]+PAProjects[[#This Row],[DONOR 22/23]]</f>
        <v>28.006</v>
      </c>
      <c r="X318" s="2">
        <v>28.006</v>
      </c>
      <c r="Y318" s="2"/>
      <c r="Z318" s="2">
        <f t="shared" si="49"/>
        <v>28.006</v>
      </c>
      <c r="AA318" s="2"/>
      <c r="AB318" s="2"/>
      <c r="AC318" s="49">
        <f>PAProjects[[#This Row],[GOU 24/25]]+PAProjects[[#This Row],[DONOR 24/25]]</f>
        <v>0</v>
      </c>
    </row>
    <row r="319" spans="1:29" ht="15" hidden="1" customHeight="1" x14ac:dyDescent="0.25">
      <c r="A319" s="21" t="s">
        <v>319</v>
      </c>
      <c r="B319" s="2" t="s">
        <v>1468</v>
      </c>
      <c r="C319" s="2" t="e">
        <f ca="1">PAProjects5[[#This Row],[LINKING_CODE]]=_xlfn.CONCAT(PAProjects5[[#This Row],[Project Code]]," ",PAProjects5[[#This Row],[Project Name]])</f>
        <v>#NAME?</v>
      </c>
      <c r="D319" s="2" t="e">
        <f>VLOOKUP(PAProjects5[[#This Row],[LINKING_CODE]],MasterTable[[Project Code and Name ]],1,FALSE)</f>
        <v>#N/A</v>
      </c>
      <c r="E319" s="2" t="s">
        <v>522</v>
      </c>
      <c r="F319" s="2" t="s">
        <v>1173</v>
      </c>
      <c r="G319" s="2" t="s">
        <v>68</v>
      </c>
      <c r="H319" s="2" t="s">
        <v>1272</v>
      </c>
      <c r="I319" s="2" t="s">
        <v>791</v>
      </c>
      <c r="J319" s="2" t="s">
        <v>792</v>
      </c>
      <c r="K319" s="2" t="s">
        <v>1509</v>
      </c>
      <c r="L319" s="23">
        <v>43647</v>
      </c>
      <c r="M319" s="23">
        <v>44742</v>
      </c>
      <c r="N319" s="24">
        <v>154.69999999999999</v>
      </c>
      <c r="O319" s="20"/>
      <c r="P319" s="20">
        <f t="shared" si="50"/>
        <v>154.69999999999999</v>
      </c>
      <c r="Q319" s="20">
        <f>SUMIFS(MasterTable[Estimate of Arrears at end of the current FY 2020/21 (value)],MasterTable[[Project Code and Name ]],PAProjects5[[#This Row],[LINKING_CODE]],MasterTable[Funding Source],"GoU Funded")/10^9</f>
        <v>0</v>
      </c>
      <c r="R319" s="2">
        <v>13.015879999999999</v>
      </c>
      <c r="S319" s="2"/>
      <c r="T319" s="49">
        <f>PAProjects[[#This Row],[GOU 21/22]]+PAProjects[[#This Row],[DONOR 21/22]]</f>
        <v>13.015879999999999</v>
      </c>
      <c r="U319" s="2">
        <v>13.015879999999999</v>
      </c>
      <c r="V319" s="2"/>
      <c r="W319" s="49">
        <f>PAProjects[[#This Row],[GOU 22/23]]+PAProjects[[#This Row],[DONOR 22/23]]</f>
        <v>13.015879999999999</v>
      </c>
      <c r="X319" s="2">
        <v>13.015879999999999</v>
      </c>
      <c r="Y319" s="2"/>
      <c r="Z319" s="2">
        <f t="shared" si="49"/>
        <v>13.015879999999999</v>
      </c>
      <c r="AA319" s="2">
        <v>13.015879999999999</v>
      </c>
      <c r="AB319" s="2"/>
      <c r="AC319" s="49">
        <f>PAProjects[[#This Row],[GOU 24/25]]+PAProjects[[#This Row],[DONOR 24/25]]</f>
        <v>13.015879999999999</v>
      </c>
    </row>
    <row r="320" spans="1:29" ht="15" hidden="1" customHeight="1" x14ac:dyDescent="0.25">
      <c r="A320" s="21" t="s">
        <v>320</v>
      </c>
      <c r="B320" s="2" t="s">
        <v>1469</v>
      </c>
      <c r="C320" s="2" t="e">
        <f ca="1">PAProjects5[[#This Row],[LINKING_CODE]]=_xlfn.CONCAT(PAProjects5[[#This Row],[Project Code]]," ",PAProjects5[[#This Row],[Project Name]])</f>
        <v>#NAME?</v>
      </c>
      <c r="D320" s="2" t="e">
        <f>VLOOKUP(PAProjects5[[#This Row],[LINKING_CODE]],MasterTable[[Project Code and Name ]],1,FALSE)</f>
        <v>#N/A</v>
      </c>
      <c r="E320" s="2" t="s">
        <v>522</v>
      </c>
      <c r="F320" s="2" t="s">
        <v>1173</v>
      </c>
      <c r="G320" s="2" t="s">
        <v>68</v>
      </c>
      <c r="H320" s="2" t="s">
        <v>1272</v>
      </c>
      <c r="I320" s="2" t="s">
        <v>793</v>
      </c>
      <c r="J320" s="2" t="s">
        <v>794</v>
      </c>
      <c r="K320" s="2" t="s">
        <v>1509</v>
      </c>
      <c r="L320" s="23">
        <v>43647</v>
      </c>
      <c r="M320" s="23">
        <v>44742</v>
      </c>
      <c r="N320" s="24">
        <v>69.099999999999994</v>
      </c>
      <c r="O320" s="25">
        <v>119.46</v>
      </c>
      <c r="P320" s="20">
        <f t="shared" si="50"/>
        <v>188.56</v>
      </c>
      <c r="Q320" s="20">
        <f>SUMIFS(MasterTable[Estimate of Arrears at end of the current FY 2020/21 (value)],MasterTable[[Project Code and Name ]],PAProjects5[[#This Row],[LINKING_CODE]],MasterTable[Funding Source],"GoU Funded")/10^9</f>
        <v>0</v>
      </c>
      <c r="R320" s="2">
        <v>10.528819165</v>
      </c>
      <c r="S320" s="2">
        <v>16.5</v>
      </c>
      <c r="T320" s="49">
        <f>PAProjects[[#This Row],[GOU 21/22]]+PAProjects[[#This Row],[DONOR 21/22]]</f>
        <v>27.028819165000002</v>
      </c>
      <c r="U320" s="2">
        <v>10.528819165</v>
      </c>
      <c r="V320" s="2"/>
      <c r="W320" s="49">
        <f>PAProjects[[#This Row],[GOU 22/23]]+PAProjects[[#This Row],[DONOR 22/23]]</f>
        <v>10.528819165</v>
      </c>
      <c r="X320" s="2">
        <v>10.528819165</v>
      </c>
      <c r="Y320" s="2"/>
      <c r="Z320" s="2">
        <f t="shared" si="49"/>
        <v>10.528819165</v>
      </c>
      <c r="AA320" s="2">
        <v>10.528819165</v>
      </c>
      <c r="AB320" s="2"/>
      <c r="AC320" s="49">
        <f>PAProjects[[#This Row],[GOU 24/25]]+PAProjects[[#This Row],[DONOR 24/25]]</f>
        <v>10.528819165</v>
      </c>
    </row>
    <row r="321" spans="1:29" ht="15" hidden="1" customHeight="1" x14ac:dyDescent="0.25">
      <c r="A321" s="21" t="s">
        <v>321</v>
      </c>
      <c r="B321" s="2" t="s">
        <v>1470</v>
      </c>
      <c r="C321" s="2" t="e">
        <f ca="1">PAProjects5[[#This Row],[LINKING_CODE]]=_xlfn.CONCAT(PAProjects5[[#This Row],[Project Code]]," ",PAProjects5[[#This Row],[Project Name]])</f>
        <v>#NAME?</v>
      </c>
      <c r="D321" s="2" t="e">
        <f>VLOOKUP(PAProjects5[[#This Row],[LINKING_CODE]],MasterTable[[Project Code and Name ]],1,FALSE)</f>
        <v>#N/A</v>
      </c>
      <c r="E321" s="2" t="s">
        <v>522</v>
      </c>
      <c r="F321" s="2" t="s">
        <v>1173</v>
      </c>
      <c r="G321" s="2" t="s">
        <v>68</v>
      </c>
      <c r="H321" s="2" t="s">
        <v>1272</v>
      </c>
      <c r="I321" s="2" t="s">
        <v>1277</v>
      </c>
      <c r="J321" s="2" t="s">
        <v>1278</v>
      </c>
      <c r="K321" s="2" t="s">
        <v>1509</v>
      </c>
      <c r="L321" s="23">
        <v>43647</v>
      </c>
      <c r="M321" s="23">
        <v>44742</v>
      </c>
      <c r="N321" s="2">
        <v>113.56</v>
      </c>
      <c r="O321" s="20"/>
      <c r="P321" s="20">
        <f t="shared" si="50"/>
        <v>113.56</v>
      </c>
      <c r="Q321" s="20">
        <f>SUMIFS(MasterTable[Estimate of Arrears at end of the current FY 2020/21 (value)],MasterTable[[Project Code and Name ]],PAProjects5[[#This Row],[LINKING_CODE]],MasterTable[Funding Source],"GoU Funded")/10^9</f>
        <v>0</v>
      </c>
      <c r="R321" s="2">
        <v>5.4952740220000003</v>
      </c>
      <c r="S321" s="2">
        <v>25.2</v>
      </c>
      <c r="T321" s="49">
        <f>PAProjects[[#This Row],[GOU 21/22]]+PAProjects[[#This Row],[DONOR 21/22]]</f>
        <v>30.695274022</v>
      </c>
      <c r="U321" s="2">
        <v>30.695</v>
      </c>
      <c r="V321" s="2"/>
      <c r="W321" s="49">
        <f>PAProjects[[#This Row],[GOU 22/23]]+PAProjects[[#This Row],[DONOR 22/23]]</f>
        <v>30.695</v>
      </c>
      <c r="X321" s="2">
        <v>30.695</v>
      </c>
      <c r="Y321" s="2"/>
      <c r="Z321" s="2">
        <f t="shared" si="49"/>
        <v>30.695</v>
      </c>
      <c r="AA321" s="2">
        <v>10.529</v>
      </c>
      <c r="AB321" s="2"/>
      <c r="AC321" s="49">
        <f>PAProjects[[#This Row],[GOU 24/25]]+PAProjects[[#This Row],[DONOR 24/25]]</f>
        <v>10.529</v>
      </c>
    </row>
    <row r="322" spans="1:29" ht="15" hidden="1" customHeight="1" x14ac:dyDescent="0.25">
      <c r="A322" s="21" t="s">
        <v>322</v>
      </c>
      <c r="B322" s="2" t="s">
        <v>1471</v>
      </c>
      <c r="C322" s="2" t="e">
        <f ca="1">PAProjects5[[#This Row],[LINKING_CODE]]=_xlfn.CONCAT(PAProjects5[[#This Row],[Project Code]]," ",PAProjects5[[#This Row],[Project Name]])</f>
        <v>#NAME?</v>
      </c>
      <c r="D322" s="2" t="e">
        <f>VLOOKUP(PAProjects5[[#This Row],[LINKING_CODE]],MasterTable[[Project Code and Name ]],1,FALSE)</f>
        <v>#N/A</v>
      </c>
      <c r="E322" s="2" t="s">
        <v>522</v>
      </c>
      <c r="F322" s="2" t="s">
        <v>1173</v>
      </c>
      <c r="G322" s="2" t="s">
        <v>68</v>
      </c>
      <c r="H322" s="2" t="s">
        <v>1272</v>
      </c>
      <c r="I322" s="2" t="s">
        <v>1279</v>
      </c>
      <c r="J322" s="2" t="s">
        <v>795</v>
      </c>
      <c r="K322" s="2" t="s">
        <v>1509</v>
      </c>
      <c r="L322" s="23">
        <v>43837</v>
      </c>
      <c r="M322" s="23">
        <v>44742</v>
      </c>
      <c r="N322" s="24">
        <v>31.739498565000002</v>
      </c>
      <c r="O322" s="20">
        <v>84.751665059999993</v>
      </c>
      <c r="P322" s="20">
        <f t="shared" si="50"/>
        <v>116.491163625</v>
      </c>
      <c r="Q322" s="20">
        <f>SUMIFS(MasterTable[Estimate of Arrears at end of the current FY 2020/21 (value)],MasterTable[[Project Code and Name ]],PAProjects5[[#This Row],[LINKING_CODE]],MasterTable[Funding Source],"GoU Funded")/10^9</f>
        <v>0</v>
      </c>
      <c r="R322" s="2">
        <v>1.25</v>
      </c>
      <c r="S322" s="2"/>
      <c r="T322" s="49">
        <f>PAProjects[[#This Row],[GOU 21/22]]+PAProjects[[#This Row],[DONOR 21/22]]</f>
        <v>1.25</v>
      </c>
      <c r="U322" s="2">
        <v>1.25</v>
      </c>
      <c r="V322" s="2"/>
      <c r="W322" s="49">
        <f>PAProjects[[#This Row],[GOU 22/23]]+PAProjects[[#This Row],[DONOR 22/23]]</f>
        <v>1.25</v>
      </c>
      <c r="X322" s="2">
        <v>1.25</v>
      </c>
      <c r="Y322" s="2"/>
      <c r="Z322" s="2">
        <f t="shared" si="49"/>
        <v>1.25</v>
      </c>
      <c r="AA322" s="2">
        <v>1.25</v>
      </c>
      <c r="AB322" s="2"/>
      <c r="AC322" s="49">
        <f>PAProjects[[#This Row],[GOU 24/25]]+PAProjects[[#This Row],[DONOR 24/25]]</f>
        <v>1.25</v>
      </c>
    </row>
    <row r="323" spans="1:29" ht="15" hidden="1" customHeight="1" x14ac:dyDescent="0.25">
      <c r="A323" s="21" t="s">
        <v>323</v>
      </c>
      <c r="B323" s="2" t="s">
        <v>1472</v>
      </c>
      <c r="C323" s="2" t="e">
        <f ca="1">PAProjects5[[#This Row],[LINKING_CODE]]=_xlfn.CONCAT(PAProjects5[[#This Row],[Project Code]]," ",PAProjects5[[#This Row],[Project Name]])</f>
        <v>#NAME?</v>
      </c>
      <c r="D323" s="2" t="e">
        <f>VLOOKUP(PAProjects5[[#This Row],[LINKING_CODE]],MasterTable[[Project Code and Name ]],1,FALSE)</f>
        <v>#N/A</v>
      </c>
      <c r="E323" s="2" t="s">
        <v>522</v>
      </c>
      <c r="F323" s="2" t="s">
        <v>1173</v>
      </c>
      <c r="G323" s="2" t="s">
        <v>68</v>
      </c>
      <c r="H323" s="2" t="s">
        <v>1272</v>
      </c>
      <c r="I323" s="2" t="s">
        <v>1280</v>
      </c>
      <c r="J323" s="2" t="s">
        <v>796</v>
      </c>
      <c r="K323" s="2" t="s">
        <v>1509</v>
      </c>
      <c r="L323" s="23">
        <v>44013</v>
      </c>
      <c r="M323" s="23">
        <v>44742</v>
      </c>
      <c r="N323" s="24">
        <v>122</v>
      </c>
      <c r="O323" s="25">
        <v>664</v>
      </c>
      <c r="P323" s="20">
        <f t="shared" si="50"/>
        <v>786</v>
      </c>
      <c r="Q323" s="20">
        <f>SUMIFS(MasterTable[Estimate of Arrears at end of the current FY 2020/21 (value)],MasterTable[[Project Code and Name ]],PAProjects5[[#This Row],[LINKING_CODE]],MasterTable[Funding Source],"GoU Funded")/10^9</f>
        <v>0</v>
      </c>
      <c r="R323" s="2">
        <v>12.614723740000001</v>
      </c>
      <c r="S323" s="2">
        <v>61.49</v>
      </c>
      <c r="T323" s="49">
        <f>PAProjects[[#This Row],[GOU 21/22]]+PAProjects[[#This Row],[DONOR 21/22]]</f>
        <v>74.104723739999997</v>
      </c>
      <c r="U323" s="2">
        <v>19.106932301000001</v>
      </c>
      <c r="V323" s="2"/>
      <c r="W323" s="49">
        <f>PAProjects[[#This Row],[GOU 22/23]]+PAProjects[[#This Row],[DONOR 22/23]]</f>
        <v>19.106932301000001</v>
      </c>
      <c r="X323" s="2">
        <v>21.972972146</v>
      </c>
      <c r="Y323" s="2"/>
      <c r="Z323" s="2">
        <f t="shared" si="49"/>
        <v>21.972972146</v>
      </c>
      <c r="AA323" s="2">
        <v>25.268917968</v>
      </c>
      <c r="AB323" s="2"/>
      <c r="AC323" s="49">
        <f>PAProjects[[#This Row],[GOU 24/25]]+PAProjects[[#This Row],[DONOR 24/25]]</f>
        <v>25.268917968</v>
      </c>
    </row>
    <row r="324" spans="1:29" ht="15" hidden="1" customHeight="1" x14ac:dyDescent="0.25">
      <c r="A324" s="21" t="s">
        <v>324</v>
      </c>
      <c r="B324" s="2" t="s">
        <v>1473</v>
      </c>
      <c r="C324" s="2" t="e">
        <f ca="1">PAProjects5[[#This Row],[LINKING_CODE]]=_xlfn.CONCAT(PAProjects5[[#This Row],[Project Code]]," ",PAProjects5[[#This Row],[Project Name]])</f>
        <v>#NAME?</v>
      </c>
      <c r="D324" s="2" t="e">
        <f>VLOOKUP(PAProjects5[[#This Row],[LINKING_CODE]],MasterTable[[Project Code and Name ]],1,FALSE)</f>
        <v>#N/A</v>
      </c>
      <c r="E324" s="2" t="s">
        <v>522</v>
      </c>
      <c r="F324" s="2" t="s">
        <v>1173</v>
      </c>
      <c r="G324" s="2" t="s">
        <v>68</v>
      </c>
      <c r="H324" s="2" t="s">
        <v>1272</v>
      </c>
      <c r="I324" s="2" t="s">
        <v>1281</v>
      </c>
      <c r="J324" s="2" t="s">
        <v>797</v>
      </c>
      <c r="K324" s="2" t="s">
        <v>1509</v>
      </c>
      <c r="L324" s="23">
        <v>44013</v>
      </c>
      <c r="M324" s="23">
        <v>44742</v>
      </c>
      <c r="N324" s="24">
        <v>105</v>
      </c>
      <c r="O324" s="25">
        <v>1806</v>
      </c>
      <c r="P324" s="20">
        <f t="shared" si="50"/>
        <v>1911</v>
      </c>
      <c r="Q324" s="20">
        <f>SUMIFS(MasterTable[Estimate of Arrears at end of the current FY 2020/21 (value)],MasterTable[[Project Code and Name ]],PAProjects5[[#This Row],[LINKING_CODE]],MasterTable[Funding Source],"GoU Funded")/10^9</f>
        <v>0</v>
      </c>
      <c r="R324" s="2">
        <v>36.758252941000002</v>
      </c>
      <c r="S324" s="2">
        <v>70</v>
      </c>
      <c r="T324" s="49">
        <f>PAProjects[[#This Row],[GOU 21/22]]+PAProjects[[#This Row],[DONOR 21/22]]</f>
        <v>106.75825294099999</v>
      </c>
      <c r="U324" s="2">
        <v>80.757999999999996</v>
      </c>
      <c r="V324" s="2"/>
      <c r="W324" s="49">
        <f>PAProjects[[#This Row],[GOU 22/23]]+PAProjects[[#This Row],[DONOR 22/23]]</f>
        <v>80.757999999999996</v>
      </c>
      <c r="X324" s="2">
        <v>80.757999999999996</v>
      </c>
      <c r="Y324" s="2"/>
      <c r="Z324" s="2">
        <f t="shared" si="49"/>
        <v>80.757999999999996</v>
      </c>
      <c r="AA324" s="2">
        <v>80.757999999999996</v>
      </c>
      <c r="AB324" s="2"/>
      <c r="AC324" s="49">
        <f>PAProjects[[#This Row],[GOU 24/25]]+PAProjects[[#This Row],[DONOR 24/25]]</f>
        <v>80.757999999999996</v>
      </c>
    </row>
    <row r="325" spans="1:29" ht="15" hidden="1" customHeight="1" x14ac:dyDescent="0.25">
      <c r="A325" s="21" t="s">
        <v>325</v>
      </c>
      <c r="B325" s="2" t="s">
        <v>1474</v>
      </c>
      <c r="C325" s="2" t="e">
        <f ca="1">PAProjects5[[#This Row],[LINKING_CODE]]=_xlfn.CONCAT(PAProjects5[[#This Row],[Project Code]]," ",PAProjects5[[#This Row],[Project Name]])</f>
        <v>#NAME?</v>
      </c>
      <c r="D325" s="2" t="e">
        <f>VLOOKUP(PAProjects5[[#This Row],[LINKING_CODE]],MasterTable[[Project Code and Name ]],1,FALSE)</f>
        <v>#N/A</v>
      </c>
      <c r="E325" s="2" t="s">
        <v>522</v>
      </c>
      <c r="F325" s="2" t="s">
        <v>1173</v>
      </c>
      <c r="G325" s="2" t="s">
        <v>68</v>
      </c>
      <c r="H325" s="2" t="s">
        <v>1272</v>
      </c>
      <c r="I325" s="2" t="s">
        <v>1282</v>
      </c>
      <c r="J325" s="2" t="s">
        <v>800</v>
      </c>
      <c r="K325" s="2" t="s">
        <v>1509</v>
      </c>
      <c r="L325" s="23">
        <v>44013</v>
      </c>
      <c r="M325" s="23">
        <v>44742</v>
      </c>
      <c r="N325" s="24">
        <v>42.940741752300006</v>
      </c>
      <c r="O325" s="20"/>
      <c r="P325" s="20">
        <f t="shared" si="50"/>
        <v>42.940741752300006</v>
      </c>
      <c r="Q325" s="20">
        <f>SUMIFS(MasterTable[Estimate of Arrears at end of the current FY 2020/21 (value)],MasterTable[[Project Code and Name ]],PAProjects5[[#This Row],[LINKING_CODE]],MasterTable[Funding Source],"GoU Funded")/10^9</f>
        <v>0</v>
      </c>
      <c r="R325" s="2">
        <v>5.3093000000000004</v>
      </c>
      <c r="S325" s="2"/>
      <c r="T325" s="49">
        <f>PAProjects[[#This Row],[GOU 21/22]]+PAProjects[[#This Row],[DONOR 21/22]]</f>
        <v>5.3093000000000004</v>
      </c>
      <c r="U325" s="2">
        <v>5.3093000000000004</v>
      </c>
      <c r="V325" s="2"/>
      <c r="W325" s="49">
        <f>PAProjects[[#This Row],[GOU 22/23]]+PAProjects[[#This Row],[DONOR 22/23]]</f>
        <v>5.3093000000000004</v>
      </c>
      <c r="X325" s="2">
        <v>5.3093000000000004</v>
      </c>
      <c r="Y325" s="2"/>
      <c r="Z325" s="2">
        <f t="shared" si="49"/>
        <v>5.3093000000000004</v>
      </c>
      <c r="AA325" s="2">
        <v>5.3093000000000004</v>
      </c>
      <c r="AB325" s="2"/>
      <c r="AC325" s="49">
        <f>PAProjects[[#This Row],[GOU 24/25]]+PAProjects[[#This Row],[DONOR 24/25]]</f>
        <v>5.3093000000000004</v>
      </c>
    </row>
    <row r="326" spans="1:29" ht="15" hidden="1" customHeight="1" x14ac:dyDescent="0.25">
      <c r="A326" s="21" t="s">
        <v>326</v>
      </c>
      <c r="B326" s="2" t="s">
        <v>1475</v>
      </c>
      <c r="C326" s="2" t="e">
        <f ca="1">PAProjects5[[#This Row],[LINKING_CODE]]=_xlfn.CONCAT(PAProjects5[[#This Row],[Project Code]]," ",PAProjects5[[#This Row],[Project Name]])</f>
        <v>#NAME?</v>
      </c>
      <c r="D326" s="2" t="e">
        <f>VLOOKUP(PAProjects5[[#This Row],[LINKING_CODE]],MasterTable[[Project Code and Name ]],1,FALSE)</f>
        <v>#N/A</v>
      </c>
      <c r="E326" s="2" t="s">
        <v>522</v>
      </c>
      <c r="F326" s="2" t="s">
        <v>1173</v>
      </c>
      <c r="G326" s="2" t="s">
        <v>68</v>
      </c>
      <c r="H326" s="2" t="s">
        <v>1272</v>
      </c>
      <c r="I326" s="2" t="s">
        <v>1283</v>
      </c>
      <c r="J326" s="2" t="s">
        <v>801</v>
      </c>
      <c r="K326" s="2" t="s">
        <v>1509</v>
      </c>
      <c r="L326" s="23">
        <v>44013</v>
      </c>
      <c r="M326" s="23">
        <v>44742</v>
      </c>
      <c r="N326" s="24">
        <v>8.5</v>
      </c>
      <c r="O326" s="20">
        <v>386.46667577070002</v>
      </c>
      <c r="P326" s="20">
        <f t="shared" si="50"/>
        <v>394.96667577070002</v>
      </c>
      <c r="Q326" s="20">
        <f>SUMIFS(MasterTable[Estimate of Arrears at end of the current FY 2020/21 (value)],MasterTable[[Project Code and Name ]],PAProjects5[[#This Row],[LINKING_CODE]],MasterTable[Funding Source],"GoU Funded")/10^9</f>
        <v>0</v>
      </c>
      <c r="R326" s="2">
        <v>8.0500000000000007</v>
      </c>
      <c r="S326" s="2">
        <v>56.25</v>
      </c>
      <c r="T326" s="49">
        <f>PAProjects[[#This Row],[GOU 21/22]]+PAProjects[[#This Row],[DONOR 21/22]]</f>
        <v>64.3</v>
      </c>
      <c r="U326" s="2">
        <v>64.3</v>
      </c>
      <c r="V326" s="2"/>
      <c r="W326" s="49">
        <f>PAProjects[[#This Row],[GOU 22/23]]+PAProjects[[#This Row],[DONOR 22/23]]</f>
        <v>64.3</v>
      </c>
      <c r="X326" s="2">
        <v>64.3</v>
      </c>
      <c r="Y326" s="2"/>
      <c r="Z326" s="2">
        <f t="shared" si="49"/>
        <v>64.3</v>
      </c>
      <c r="AA326" s="2">
        <v>64.3</v>
      </c>
      <c r="AB326" s="2"/>
      <c r="AC326" s="49">
        <f>PAProjects[[#This Row],[GOU 24/25]]+PAProjects[[#This Row],[DONOR 24/25]]</f>
        <v>64.3</v>
      </c>
    </row>
    <row r="327" spans="1:29" hidden="1" x14ac:dyDescent="0.25">
      <c r="A327" s="21" t="s">
        <v>327</v>
      </c>
      <c r="B327" s="2" t="s">
        <v>1476</v>
      </c>
      <c r="C327" s="2" t="e">
        <f ca="1">PAProjects5[[#This Row],[LINKING_CODE]]=_xlfn.CONCAT(PAProjects5[[#This Row],[Project Code]]," ",PAProjects5[[#This Row],[Project Name]])</f>
        <v>#NAME?</v>
      </c>
      <c r="D327" s="2" t="e">
        <f>VLOOKUP(PAProjects5[[#This Row],[LINKING_CODE]],MasterTable[[Project Code and Name ]],1,FALSE)</f>
        <v>#N/A</v>
      </c>
      <c r="E327" s="2" t="s">
        <v>522</v>
      </c>
      <c r="F327" s="2" t="s">
        <v>1173</v>
      </c>
      <c r="G327" s="2" t="s">
        <v>68</v>
      </c>
      <c r="H327" s="2" t="s">
        <v>1272</v>
      </c>
      <c r="I327" s="2" t="s">
        <v>1284</v>
      </c>
      <c r="J327" s="2" t="s">
        <v>802</v>
      </c>
      <c r="K327" s="2" t="s">
        <v>1509</v>
      </c>
      <c r="L327" s="23">
        <v>44013</v>
      </c>
      <c r="M327" s="23">
        <v>44742</v>
      </c>
      <c r="N327" s="24">
        <v>47.672480315000001</v>
      </c>
      <c r="O327" s="20">
        <v>304.7</v>
      </c>
      <c r="P327" s="20">
        <f t="shared" si="50"/>
        <v>352.37248031499996</v>
      </c>
      <c r="Q327" s="20">
        <f>SUMIFS(MasterTable[Estimate of Arrears at end of the current FY 2020/21 (value)],MasterTable[[Project Code and Name ]],PAProjects5[[#This Row],[LINKING_CODE]],MasterTable[Funding Source],"GoU Funded")/10^9</f>
        <v>0</v>
      </c>
      <c r="R327" s="2">
        <v>1</v>
      </c>
      <c r="S327" s="2">
        <v>5.45458</v>
      </c>
      <c r="T327" s="49">
        <f>PAProjects[[#This Row],[GOU 21/22]]+PAProjects[[#This Row],[DONOR 21/22]]</f>
        <v>6.45458</v>
      </c>
      <c r="U327" s="2">
        <v>1</v>
      </c>
      <c r="V327" s="2">
        <v>6.5027670000000004</v>
      </c>
      <c r="W327" s="49">
        <f>PAProjects[[#This Row],[GOU 22/23]]+PAProjects[[#This Row],[DONOR 22/23]]</f>
        <v>7.5027670000000004</v>
      </c>
      <c r="X327" s="2">
        <v>1</v>
      </c>
      <c r="Y327" s="2">
        <v>7.47818205</v>
      </c>
      <c r="Z327" s="2">
        <f t="shared" si="49"/>
        <v>8.4781820500000009</v>
      </c>
      <c r="AA327" s="2">
        <v>1</v>
      </c>
      <c r="AB327" s="2">
        <v>8.5999093579999997</v>
      </c>
      <c r="AC327" s="49">
        <f>PAProjects[[#This Row],[GOU 24/25]]+PAProjects[[#This Row],[DONOR 24/25]]</f>
        <v>9.5999093579999997</v>
      </c>
    </row>
    <row r="328" spans="1:29" hidden="1" x14ac:dyDescent="0.25">
      <c r="A328" s="21" t="s">
        <v>328</v>
      </c>
      <c r="B328" s="2" t="s">
        <v>1477</v>
      </c>
      <c r="C328" s="2" t="e">
        <f ca="1">PAProjects5[[#This Row],[LINKING_CODE]]=_xlfn.CONCAT(PAProjects5[[#This Row],[Project Code]]," ",PAProjects5[[#This Row],[Project Name]])</f>
        <v>#NAME?</v>
      </c>
      <c r="D328" s="2" t="e">
        <f>VLOOKUP(PAProjects5[[#This Row],[LINKING_CODE]],MasterTable[[Project Code and Name ]],1,FALSE)</f>
        <v>#N/A</v>
      </c>
      <c r="E328" s="2" t="s">
        <v>522</v>
      </c>
      <c r="F328" s="2" t="s">
        <v>1173</v>
      </c>
      <c r="G328" s="2" t="s">
        <v>68</v>
      </c>
      <c r="H328" s="2" t="s">
        <v>1272</v>
      </c>
      <c r="I328" s="2" t="s">
        <v>1285</v>
      </c>
      <c r="J328" s="2" t="s">
        <v>803</v>
      </c>
      <c r="K328" s="2" t="s">
        <v>1509</v>
      </c>
      <c r="L328" s="23">
        <v>44013</v>
      </c>
      <c r="M328" s="23">
        <v>44742</v>
      </c>
      <c r="N328" s="20"/>
      <c r="O328" s="20">
        <v>476.73</v>
      </c>
      <c r="P328" s="20">
        <f t="shared" si="50"/>
        <v>476.73</v>
      </c>
      <c r="Q328" s="20">
        <f>SUMIFS(MasterTable[Estimate of Arrears at end of the current FY 2020/21 (value)],MasterTable[[Project Code and Name ]],PAProjects5[[#This Row],[LINKING_CODE]],MasterTable[Funding Source],"GoU Funded")/10^9</f>
        <v>0</v>
      </c>
      <c r="R328" s="2">
        <v>0.62000012011050587</v>
      </c>
      <c r="S328" s="2">
        <v>0.93503499999999995</v>
      </c>
      <c r="T328" s="49">
        <f>PAProjects[[#This Row],[GOU 21/22]]+PAProjects[[#This Row],[DONOR 21/22]]</f>
        <v>1.5550351201105057</v>
      </c>
      <c r="U328" s="2">
        <v>121.04600000000001</v>
      </c>
      <c r="V328" s="2"/>
      <c r="W328" s="49">
        <f>PAProjects[[#This Row],[GOU 22/23]]+PAProjects[[#This Row],[DONOR 22/23]]</f>
        <v>121.04600000000001</v>
      </c>
      <c r="X328" s="2"/>
      <c r="Y328" s="2">
        <v>121.04600000000001</v>
      </c>
      <c r="Z328" s="2">
        <f t="shared" si="49"/>
        <v>121.04600000000001</v>
      </c>
      <c r="AA328" s="2"/>
      <c r="AB328" s="2">
        <v>121.04600000000001</v>
      </c>
      <c r="AC328" s="49">
        <f>PAProjects[[#This Row],[GOU 24/25]]+PAProjects[[#This Row],[DONOR 24/25]]</f>
        <v>121.04600000000001</v>
      </c>
    </row>
    <row r="329" spans="1:29" hidden="1" x14ac:dyDescent="0.25">
      <c r="A329" s="21" t="s">
        <v>329</v>
      </c>
      <c r="B329" s="2" t="s">
        <v>1478</v>
      </c>
      <c r="C329" s="2" t="e">
        <f ca="1">PAProjects5[[#This Row],[LINKING_CODE]]=_xlfn.CONCAT(PAProjects5[[#This Row],[Project Code]]," ",PAProjects5[[#This Row],[Project Name]])</f>
        <v>#NAME?</v>
      </c>
      <c r="D329" s="2" t="e">
        <f>VLOOKUP(PAProjects5[[#This Row],[LINKING_CODE]],MasterTable[[Project Code and Name ]],1,FALSE)</f>
        <v>#N/A</v>
      </c>
      <c r="E329" s="2" t="s">
        <v>522</v>
      </c>
      <c r="F329" s="2" t="s">
        <v>1173</v>
      </c>
      <c r="G329" s="2" t="s">
        <v>68</v>
      </c>
      <c r="H329" s="2" t="s">
        <v>1272</v>
      </c>
      <c r="I329" s="2" t="s">
        <v>1286</v>
      </c>
      <c r="J329" s="2" t="s">
        <v>1287</v>
      </c>
      <c r="K329" s="2" t="s">
        <v>1509</v>
      </c>
      <c r="L329" s="23">
        <v>44013</v>
      </c>
      <c r="M329" s="23">
        <v>44742</v>
      </c>
      <c r="N329" s="20">
        <v>14.45</v>
      </c>
      <c r="O329" s="20"/>
      <c r="P329" s="20">
        <f t="shared" si="50"/>
        <v>14.45</v>
      </c>
      <c r="Q329" s="20">
        <f>SUMIFS(MasterTable[Estimate of Arrears at end of the current FY 2020/21 (value)],MasterTable[[Project Code and Name ]],PAProjects5[[#This Row],[LINKING_CODE]],MasterTable[Funding Source],"GoU Funded")/10^9</f>
        <v>0</v>
      </c>
      <c r="R329" s="2">
        <v>0.32</v>
      </c>
      <c r="S329" s="2"/>
      <c r="T329" s="49">
        <f>PAProjects5[[#This Row],[GOU 21/22]]+PAProjects5[[#This Row],[DONOR 21/22]]</f>
        <v>0.32</v>
      </c>
      <c r="U329" s="2">
        <v>0.13</v>
      </c>
      <c r="V329" s="2"/>
      <c r="W329" s="49">
        <f>PAProjects5[[#This Row],[GOU 22/23]]+PAProjects5[[#This Row],[DONOR 22/23]]</f>
        <v>0.13</v>
      </c>
      <c r="X329" s="2">
        <v>0.27</v>
      </c>
      <c r="Y329" s="2"/>
      <c r="Z329" s="2">
        <f>PAProjects5[[#This Row],[GOU 23/24]]+PAProjects5[[#This Row],[DONOR 23/24]]</f>
        <v>0.27</v>
      </c>
      <c r="AA329" s="2">
        <v>0.44</v>
      </c>
      <c r="AB329" s="2"/>
      <c r="AC329" s="49">
        <f>PAProjects5[[#This Row],[GOU 24/25]]+PAProjects5[[#This Row],[DONOR 24/25]]</f>
        <v>0.44</v>
      </c>
    </row>
    <row r="330" spans="1:29" x14ac:dyDescent="0.25">
      <c r="A330" s="2" t="s">
        <v>330</v>
      </c>
      <c r="B330" s="156" t="s">
        <v>1879</v>
      </c>
      <c r="C330" s="156" t="e">
        <f ca="1">PAProjects5[[#This Row],[LINKING_CODE]]=_xlfn.CONCAT(PAProjects5[[#This Row],[Project Code]]," ",PAProjects5[[#This Row],[Project Name]])</f>
        <v>#NAME?</v>
      </c>
      <c r="D330" s="156" t="e">
        <f>VLOOKUP(PAProjects5[[#This Row],[LINKING_CODE]],MasterTable[[Project Code and Name ]],1,FALSE)</f>
        <v>#N/A</v>
      </c>
      <c r="E330" s="2" t="s">
        <v>534</v>
      </c>
      <c r="F330" s="2" t="s">
        <v>1218</v>
      </c>
      <c r="G330" s="2" t="s">
        <v>232</v>
      </c>
      <c r="H330" s="2" t="s">
        <v>1113</v>
      </c>
      <c r="I330" s="2" t="s">
        <v>1794</v>
      </c>
      <c r="J330" s="2" t="s">
        <v>1751</v>
      </c>
      <c r="K330" s="2" t="str">
        <f t="shared" ref="K330:K372" si="51">IF(ISERROR(SEARCH("Retooling",J330))=FALSE,"Retooling","")</f>
        <v>Retooling</v>
      </c>
      <c r="L330" s="23">
        <v>44378</v>
      </c>
      <c r="M330" s="23">
        <v>45838</v>
      </c>
      <c r="N330" s="20">
        <v>1.1599999999999999</v>
      </c>
      <c r="O330" s="20">
        <v>0</v>
      </c>
      <c r="P330" s="20">
        <v>1.1599999999999999</v>
      </c>
      <c r="Q330" s="20">
        <f>SUMIFS(MasterTable[Estimate of Arrears at end of the current FY 2020/21 (value)],MasterTable[[Project Code and Name ]],PAProjects5[[#This Row],[LINKING_CODE]],MasterTable[Funding Source],"GoU Funded")/10^9</f>
        <v>0</v>
      </c>
      <c r="R330" s="2">
        <v>0.12</v>
      </c>
      <c r="S330" s="2"/>
      <c r="T330" s="49">
        <f>PAProjects5[[#This Row],[GOU 21/22]]+PAProjects5[[#This Row],[DONOR 21/22]]</f>
        <v>0.12</v>
      </c>
      <c r="U330" s="2">
        <v>0.13</v>
      </c>
      <c r="V330" s="2"/>
      <c r="W330" s="49">
        <f>PAProjects5[[#This Row],[GOU 22/23]]+PAProjects5[[#This Row],[DONOR 22/23]]</f>
        <v>0.13</v>
      </c>
      <c r="X330" s="2">
        <v>0.27</v>
      </c>
      <c r="Y330" s="2"/>
      <c r="Z330" s="2">
        <f>PAProjects5[[#This Row],[GOU 23/24]]+PAProjects5[[#This Row],[DONOR 23/24]]</f>
        <v>0.27</v>
      </c>
      <c r="AA330" s="2">
        <v>0.44</v>
      </c>
      <c r="AB330" s="2"/>
      <c r="AC330" s="49">
        <f>PAProjects5[[#This Row],[GOU 24/25]]+PAProjects5[[#This Row],[DONOR 24/25]]</f>
        <v>0.44</v>
      </c>
    </row>
    <row r="331" spans="1:29" x14ac:dyDescent="0.25">
      <c r="A331" s="2" t="s">
        <v>1837</v>
      </c>
      <c r="B331" s="156" t="s">
        <v>1880</v>
      </c>
      <c r="C331" s="156" t="e">
        <f ca="1">PAProjects5[[#This Row],[LINKING_CODE]]=_xlfn.CONCAT(PAProjects5[[#This Row],[Project Code]]," ",PAProjects5[[#This Row],[Project Name]])</f>
        <v>#NAME?</v>
      </c>
      <c r="D331" s="156" t="e">
        <f>VLOOKUP(PAProjects5[[#This Row],[LINKING_CODE]],MasterTable[[Project Code and Name ]],1,FALSE)</f>
        <v>#N/A</v>
      </c>
      <c r="E331" s="2" t="s">
        <v>535</v>
      </c>
      <c r="F331" s="2" t="s">
        <v>1218</v>
      </c>
      <c r="G331" s="2" t="s">
        <v>229</v>
      </c>
      <c r="H331" s="2" t="s">
        <v>1113</v>
      </c>
      <c r="I331" s="2" t="s">
        <v>1795</v>
      </c>
      <c r="J331" s="2" t="s">
        <v>1752</v>
      </c>
      <c r="K331" s="2" t="str">
        <f t="shared" si="51"/>
        <v>Retooling</v>
      </c>
      <c r="L331" s="23">
        <v>44378</v>
      </c>
      <c r="M331" s="23">
        <v>45838</v>
      </c>
      <c r="N331" s="20">
        <v>0.96</v>
      </c>
      <c r="O331" s="20">
        <v>0</v>
      </c>
      <c r="P331" s="20">
        <v>0.96</v>
      </c>
      <c r="Q331" s="20">
        <f>SUMIFS(MasterTable[Estimate of Arrears at end of the current FY 2020/21 (value)],MasterTable[[Project Code and Name ]],PAProjects5[[#This Row],[LINKING_CODE]],MasterTable[Funding Source],"GoU Funded")/10^9</f>
        <v>0</v>
      </c>
      <c r="R331" s="2">
        <v>0.12</v>
      </c>
      <c r="S331" s="2"/>
      <c r="T331" s="49">
        <f>PAProjects5[[#This Row],[GOU 21/22]]+PAProjects5[[#This Row],[DONOR 21/22]]</f>
        <v>0.12</v>
      </c>
      <c r="U331" s="2">
        <v>0.13</v>
      </c>
      <c r="V331" s="2"/>
      <c r="W331" s="49">
        <f>PAProjects5[[#This Row],[GOU 22/23]]+PAProjects5[[#This Row],[DONOR 22/23]]</f>
        <v>0.13</v>
      </c>
      <c r="X331" s="2">
        <v>0.27</v>
      </c>
      <c r="Y331" s="2"/>
      <c r="Z331" s="2">
        <f>PAProjects5[[#This Row],[GOU 23/24]]+PAProjects5[[#This Row],[DONOR 23/24]]</f>
        <v>0.27</v>
      </c>
      <c r="AA331" s="2">
        <v>0.44</v>
      </c>
      <c r="AB331" s="2"/>
      <c r="AC331" s="49">
        <f>PAProjects5[[#This Row],[GOU 24/25]]+PAProjects5[[#This Row],[DONOR 24/25]]</f>
        <v>0.44</v>
      </c>
    </row>
    <row r="332" spans="1:29" x14ac:dyDescent="0.25">
      <c r="A332" s="2" t="s">
        <v>1838</v>
      </c>
      <c r="B332" s="156" t="s">
        <v>1881</v>
      </c>
      <c r="C332" s="156" t="e">
        <f ca="1">PAProjects5[[#This Row],[LINKING_CODE]]=_xlfn.CONCAT(PAProjects5[[#This Row],[Project Code]]," ",PAProjects5[[#This Row],[Project Name]])</f>
        <v>#NAME?</v>
      </c>
      <c r="D332" s="156" t="e">
        <f>VLOOKUP(PAProjects5[[#This Row],[LINKING_CODE]],MasterTable[[Project Code and Name ]],1,FALSE)</f>
        <v>#N/A</v>
      </c>
      <c r="E332" s="2" t="s">
        <v>537</v>
      </c>
      <c r="F332" s="2" t="s">
        <v>1218</v>
      </c>
      <c r="G332" s="2" t="s">
        <v>228</v>
      </c>
      <c r="H332" s="2" t="s">
        <v>1113</v>
      </c>
      <c r="I332" s="2" t="s">
        <v>1796</v>
      </c>
      <c r="J332" s="2" t="s">
        <v>1753</v>
      </c>
      <c r="K332" s="2" t="str">
        <f t="shared" si="51"/>
        <v>Retooling</v>
      </c>
      <c r="L332" s="23">
        <v>44378</v>
      </c>
      <c r="M332" s="23">
        <v>45838</v>
      </c>
      <c r="N332" s="20">
        <v>0.96</v>
      </c>
      <c r="O332" s="20">
        <v>0</v>
      </c>
      <c r="P332" s="20">
        <v>0.96</v>
      </c>
      <c r="Q332" s="20">
        <f>SUMIFS(MasterTable[Estimate of Arrears at end of the current FY 2020/21 (value)],MasterTable[[Project Code and Name ]],PAProjects5[[#This Row],[LINKING_CODE]],MasterTable[Funding Source],"GoU Funded")/10^9</f>
        <v>0</v>
      </c>
      <c r="R332" s="2">
        <v>0.12</v>
      </c>
      <c r="S332" s="2"/>
      <c r="T332" s="49">
        <f>PAProjects5[[#This Row],[GOU 21/22]]+PAProjects5[[#This Row],[DONOR 21/22]]</f>
        <v>0.12</v>
      </c>
      <c r="U332" s="2">
        <v>0.13</v>
      </c>
      <c r="V332" s="2"/>
      <c r="W332" s="49">
        <f>PAProjects5[[#This Row],[GOU 22/23]]+PAProjects5[[#This Row],[DONOR 22/23]]</f>
        <v>0.13</v>
      </c>
      <c r="X332" s="2">
        <v>0.27</v>
      </c>
      <c r="Y332" s="2"/>
      <c r="Z332" s="2">
        <f>PAProjects5[[#This Row],[GOU 23/24]]+PAProjects5[[#This Row],[DONOR 23/24]]</f>
        <v>0.27</v>
      </c>
      <c r="AA332" s="2">
        <v>0.44</v>
      </c>
      <c r="AB332" s="2"/>
      <c r="AC332" s="49">
        <f>PAProjects5[[#This Row],[GOU 24/25]]+PAProjects5[[#This Row],[DONOR 24/25]]</f>
        <v>0.44</v>
      </c>
    </row>
    <row r="333" spans="1:29" x14ac:dyDescent="0.25">
      <c r="A333" s="2" t="s">
        <v>1839</v>
      </c>
      <c r="B333" s="156" t="s">
        <v>1882</v>
      </c>
      <c r="C333" s="156" t="e">
        <f ca="1">PAProjects5[[#This Row],[LINKING_CODE]]=_xlfn.CONCAT(PAProjects5[[#This Row],[Project Code]]," ",PAProjects5[[#This Row],[Project Name]])</f>
        <v>#NAME?</v>
      </c>
      <c r="D333" s="156" t="e">
        <f>VLOOKUP(PAProjects5[[#This Row],[LINKING_CODE]],MasterTable[[Project Code and Name ]],1,FALSE)</f>
        <v>#N/A</v>
      </c>
      <c r="E333" s="2" t="s">
        <v>538</v>
      </c>
      <c r="F333" s="2" t="s">
        <v>1218</v>
      </c>
      <c r="G333" s="2" t="s">
        <v>233</v>
      </c>
      <c r="H333" s="2" t="s">
        <v>1113</v>
      </c>
      <c r="I333" s="2" t="s">
        <v>1797</v>
      </c>
      <c r="J333" s="2" t="s">
        <v>1754</v>
      </c>
      <c r="K333" s="2" t="str">
        <f t="shared" si="51"/>
        <v>Retooling</v>
      </c>
      <c r="L333" s="23">
        <v>44378</v>
      </c>
      <c r="M333" s="23">
        <v>45838</v>
      </c>
      <c r="N333" s="20">
        <v>0.96</v>
      </c>
      <c r="O333" s="20">
        <v>0</v>
      </c>
      <c r="P333" s="20">
        <v>0.96</v>
      </c>
      <c r="Q333" s="20">
        <f>SUMIFS(MasterTable[Estimate of Arrears at end of the current FY 2020/21 (value)],MasterTable[[Project Code and Name ]],PAProjects5[[#This Row],[LINKING_CODE]],MasterTable[Funding Source],"GoU Funded")/10^9</f>
        <v>0</v>
      </c>
      <c r="R333" s="2">
        <v>0.12</v>
      </c>
      <c r="S333" s="2"/>
      <c r="T333" s="49">
        <f>PAProjects5[[#This Row],[GOU 21/22]]+PAProjects5[[#This Row],[DONOR 21/22]]</f>
        <v>0.12</v>
      </c>
      <c r="U333" s="2">
        <v>0.13</v>
      </c>
      <c r="V333" s="2"/>
      <c r="W333" s="49">
        <f>PAProjects5[[#This Row],[GOU 22/23]]+PAProjects5[[#This Row],[DONOR 22/23]]</f>
        <v>0.13</v>
      </c>
      <c r="X333" s="2">
        <v>0.27</v>
      </c>
      <c r="Y333" s="2"/>
      <c r="Z333" s="2">
        <f>PAProjects5[[#This Row],[GOU 23/24]]+PAProjects5[[#This Row],[DONOR 23/24]]</f>
        <v>0.27</v>
      </c>
      <c r="AA333" s="2">
        <v>0.44</v>
      </c>
      <c r="AB333" s="2"/>
      <c r="AC333" s="49">
        <f>PAProjects5[[#This Row],[GOU 24/25]]+PAProjects5[[#This Row],[DONOR 24/25]]</f>
        <v>0.44</v>
      </c>
    </row>
    <row r="334" spans="1:29" x14ac:dyDescent="0.25">
      <c r="A334" s="2" t="s">
        <v>1840</v>
      </c>
      <c r="B334" s="156" t="s">
        <v>1883</v>
      </c>
      <c r="C334" s="156" t="e">
        <f ca="1">PAProjects5[[#This Row],[LINKING_CODE]]=_xlfn.CONCAT(PAProjects5[[#This Row],[Project Code]]," ",PAProjects5[[#This Row],[Project Name]])</f>
        <v>#NAME?</v>
      </c>
      <c r="D334" s="156" t="e">
        <f>VLOOKUP(PAProjects5[[#This Row],[LINKING_CODE]],MasterTable[[Project Code and Name ]],1,FALSE)</f>
        <v>#N/A</v>
      </c>
      <c r="E334" s="2" t="s">
        <v>540</v>
      </c>
      <c r="F334" s="2" t="s">
        <v>1218</v>
      </c>
      <c r="G334" s="2" t="s">
        <v>234</v>
      </c>
      <c r="H334" s="2" t="s">
        <v>1113</v>
      </c>
      <c r="I334" s="44" t="s">
        <v>1798</v>
      </c>
      <c r="J334" s="44" t="s">
        <v>1755</v>
      </c>
      <c r="K334" s="2" t="str">
        <f t="shared" si="51"/>
        <v>Retooling</v>
      </c>
      <c r="L334" s="23">
        <v>44378</v>
      </c>
      <c r="M334" s="23">
        <v>45838</v>
      </c>
      <c r="N334" s="20">
        <v>0.96</v>
      </c>
      <c r="O334" s="20">
        <v>0</v>
      </c>
      <c r="P334" s="20">
        <v>0.96</v>
      </c>
      <c r="Q334" s="20">
        <f>SUMIFS(MasterTable[Estimate of Arrears at end of the current FY 2020/21 (value)],MasterTable[[Project Code and Name ]],PAProjects5[[#This Row],[LINKING_CODE]],MasterTable[Funding Source],"GoU Funded")/10^9</f>
        <v>0</v>
      </c>
      <c r="R334" s="2">
        <v>0.12</v>
      </c>
      <c r="S334" s="2"/>
      <c r="T334" s="49">
        <f>PAProjects5[[#This Row],[GOU 21/22]]+PAProjects5[[#This Row],[DONOR 21/22]]</f>
        <v>0.12</v>
      </c>
      <c r="U334" s="2">
        <v>0.13</v>
      </c>
      <c r="V334" s="2"/>
      <c r="W334" s="49">
        <f>PAProjects5[[#This Row],[GOU 22/23]]+PAProjects5[[#This Row],[DONOR 22/23]]</f>
        <v>0.13</v>
      </c>
      <c r="X334" s="2">
        <v>0.27</v>
      </c>
      <c r="Y334" s="2"/>
      <c r="Z334" s="2">
        <f>PAProjects5[[#This Row],[GOU 23/24]]+PAProjects5[[#This Row],[DONOR 23/24]]</f>
        <v>0.27</v>
      </c>
      <c r="AA334" s="2">
        <v>0.44</v>
      </c>
      <c r="AB334" s="2"/>
      <c r="AC334" s="49">
        <f>PAProjects5[[#This Row],[GOU 24/25]]+PAProjects5[[#This Row],[DONOR 24/25]]</f>
        <v>0.44</v>
      </c>
    </row>
    <row r="335" spans="1:29" x14ac:dyDescent="0.25">
      <c r="A335" s="2" t="s">
        <v>1841</v>
      </c>
      <c r="B335" s="156" t="s">
        <v>1884</v>
      </c>
      <c r="C335" s="156" t="e">
        <f ca="1">PAProjects5[[#This Row],[LINKING_CODE]]=_xlfn.CONCAT(PAProjects5[[#This Row],[Project Code]]," ",PAProjects5[[#This Row],[Project Name]])</f>
        <v>#NAME?</v>
      </c>
      <c r="D335" s="156" t="e">
        <f>VLOOKUP(PAProjects5[[#This Row],[LINKING_CODE]],MasterTable[[Project Code and Name ]],1,FALSE)</f>
        <v>#N/A</v>
      </c>
      <c r="E335" s="2" t="s">
        <v>542</v>
      </c>
      <c r="F335" s="2" t="s">
        <v>1218</v>
      </c>
      <c r="G335" s="2" t="s">
        <v>238</v>
      </c>
      <c r="H335" s="2" t="s">
        <v>1113</v>
      </c>
      <c r="I335" s="2" t="s">
        <v>1799</v>
      </c>
      <c r="J335" s="29" t="s">
        <v>1756</v>
      </c>
      <c r="K335" s="2" t="str">
        <f t="shared" si="51"/>
        <v>Retooling</v>
      </c>
      <c r="L335" s="23">
        <v>44378</v>
      </c>
      <c r="M335" s="23">
        <v>45838</v>
      </c>
      <c r="N335" s="20">
        <v>0.96</v>
      </c>
      <c r="O335" s="20">
        <v>0</v>
      </c>
      <c r="P335" s="20">
        <v>0.96</v>
      </c>
      <c r="Q335" s="20">
        <f>SUMIFS(MasterTable[Estimate of Arrears at end of the current FY 2020/21 (value)],MasterTable[[Project Code and Name ]],PAProjects5[[#This Row],[LINKING_CODE]],MasterTable[Funding Source],"GoU Funded")/10^9</f>
        <v>0</v>
      </c>
      <c r="R335" s="2">
        <v>0.65</v>
      </c>
      <c r="S335" s="2"/>
      <c r="T335" s="49">
        <f>PAProjects5[[#This Row],[GOU 21/22]]+PAProjects5[[#This Row],[DONOR 21/22]]</f>
        <v>0.65</v>
      </c>
      <c r="U335" s="2">
        <v>0.28000000000000003</v>
      </c>
      <c r="V335" s="2"/>
      <c r="W335" s="49">
        <f>PAProjects5[[#This Row],[GOU 22/23]]+PAProjects5[[#This Row],[DONOR 22/23]]</f>
        <v>0.28000000000000003</v>
      </c>
      <c r="X335" s="2">
        <v>0.12</v>
      </c>
      <c r="Y335" s="2"/>
      <c r="Z335" s="2">
        <f>PAProjects5[[#This Row],[GOU 23/24]]+PAProjects5[[#This Row],[DONOR 23/24]]</f>
        <v>0.12</v>
      </c>
      <c r="AA335" s="2">
        <v>0.04</v>
      </c>
      <c r="AB335" s="2"/>
      <c r="AC335" s="49">
        <f>PAProjects5[[#This Row],[GOU 24/25]]+PAProjects5[[#This Row],[DONOR 24/25]]</f>
        <v>0.04</v>
      </c>
    </row>
    <row r="336" spans="1:29" x14ac:dyDescent="0.25">
      <c r="A336" s="2" t="s">
        <v>1842</v>
      </c>
      <c r="B336" s="156" t="s">
        <v>1885</v>
      </c>
      <c r="C336" s="156" t="e">
        <f ca="1">PAProjects5[[#This Row],[LINKING_CODE]]=_xlfn.CONCAT(PAProjects5[[#This Row],[Project Code]]," ",PAProjects5[[#This Row],[Project Name]])</f>
        <v>#NAME?</v>
      </c>
      <c r="D336" s="156" t="e">
        <f>VLOOKUP(PAProjects5[[#This Row],[LINKING_CODE]],MasterTable[[Project Code and Name ]],1,FALSE)</f>
        <v>#N/A</v>
      </c>
      <c r="E336" s="2" t="s">
        <v>544</v>
      </c>
      <c r="F336" s="2" t="s">
        <v>1218</v>
      </c>
      <c r="G336" s="2" t="s">
        <v>235</v>
      </c>
      <c r="H336" s="2" t="s">
        <v>1113</v>
      </c>
      <c r="I336" s="29" t="s">
        <v>1800</v>
      </c>
      <c r="J336" s="2" t="s">
        <v>1757</v>
      </c>
      <c r="K336" s="2" t="str">
        <f t="shared" si="51"/>
        <v>Retooling</v>
      </c>
      <c r="L336" s="23">
        <v>44378</v>
      </c>
      <c r="M336" s="23">
        <v>45838</v>
      </c>
      <c r="N336" s="20">
        <v>1.0900000000000001</v>
      </c>
      <c r="O336" s="20">
        <v>0</v>
      </c>
      <c r="P336" s="20">
        <v>1.0900000000000001</v>
      </c>
      <c r="Q336" s="20">
        <f>SUMIFS(MasterTable[Estimate of Arrears at end of the current FY 2020/21 (value)],MasterTable[[Project Code and Name ]],PAProjects5[[#This Row],[LINKING_CODE]],MasterTable[Funding Source],"GoU Funded")/10^9</f>
        <v>0</v>
      </c>
      <c r="R336" s="2">
        <v>0.12</v>
      </c>
      <c r="S336" s="2"/>
      <c r="T336" s="49">
        <f>PAProjects5[[#This Row],[GOU 21/22]]+PAProjects5[[#This Row],[DONOR 21/22]]</f>
        <v>0.12</v>
      </c>
      <c r="U336" s="2">
        <v>0.13</v>
      </c>
      <c r="V336" s="2"/>
      <c r="W336" s="49">
        <f>PAProjects5[[#This Row],[GOU 22/23]]+PAProjects5[[#This Row],[DONOR 22/23]]</f>
        <v>0.13</v>
      </c>
      <c r="X336" s="2">
        <v>0.27</v>
      </c>
      <c r="Y336" s="2"/>
      <c r="Z336" s="2">
        <f>PAProjects5[[#This Row],[GOU 23/24]]+PAProjects5[[#This Row],[DONOR 23/24]]</f>
        <v>0.27</v>
      </c>
      <c r="AA336" s="2">
        <v>0.44</v>
      </c>
      <c r="AB336" s="2"/>
      <c r="AC336" s="49">
        <f>PAProjects5[[#This Row],[GOU 24/25]]+PAProjects5[[#This Row],[DONOR 24/25]]</f>
        <v>0.44</v>
      </c>
    </row>
    <row r="337" spans="1:29" x14ac:dyDescent="0.25">
      <c r="A337" s="2" t="s">
        <v>1843</v>
      </c>
      <c r="B337" s="156" t="s">
        <v>1886</v>
      </c>
      <c r="C337" s="156" t="e">
        <f ca="1">PAProjects5[[#This Row],[LINKING_CODE]]=_xlfn.CONCAT(PAProjects5[[#This Row],[Project Code]]," ",PAProjects5[[#This Row],[Project Name]])</f>
        <v>#NAME?</v>
      </c>
      <c r="D337" s="156" t="e">
        <f>VLOOKUP(PAProjects5[[#This Row],[LINKING_CODE]],MasterTable[[Project Code and Name ]],1,FALSE)</f>
        <v>#N/A</v>
      </c>
      <c r="E337" s="2" t="s">
        <v>545</v>
      </c>
      <c r="F337" s="2" t="s">
        <v>1218</v>
      </c>
      <c r="G337" s="2" t="s">
        <v>225</v>
      </c>
      <c r="H337" s="2" t="s">
        <v>1113</v>
      </c>
      <c r="I337" s="2" t="s">
        <v>1801</v>
      </c>
      <c r="J337" s="2" t="s">
        <v>1758</v>
      </c>
      <c r="K337" s="2" t="str">
        <f t="shared" si="51"/>
        <v>Retooling</v>
      </c>
      <c r="L337" s="23">
        <v>44378</v>
      </c>
      <c r="M337" s="23">
        <v>45838</v>
      </c>
      <c r="N337" s="20">
        <v>0.96</v>
      </c>
      <c r="O337" s="20">
        <v>0</v>
      </c>
      <c r="P337" s="20">
        <v>0.96</v>
      </c>
      <c r="Q337" s="20">
        <f>SUMIFS(MasterTable[Estimate of Arrears at end of the current FY 2020/21 (value)],MasterTable[[Project Code and Name ]],PAProjects5[[#This Row],[LINKING_CODE]],MasterTable[Funding Source],"GoU Funded")/10^9</f>
        <v>0</v>
      </c>
      <c r="R337" s="2">
        <v>0.12</v>
      </c>
      <c r="S337" s="2"/>
      <c r="T337" s="49">
        <f>PAProjects5[[#This Row],[GOU 21/22]]+PAProjects5[[#This Row],[DONOR 21/22]]</f>
        <v>0.12</v>
      </c>
      <c r="U337" s="2">
        <v>0.13</v>
      </c>
      <c r="V337" s="2"/>
      <c r="W337" s="49">
        <f>PAProjects5[[#This Row],[GOU 22/23]]+PAProjects5[[#This Row],[DONOR 22/23]]</f>
        <v>0.13</v>
      </c>
      <c r="X337" s="2">
        <v>0.27</v>
      </c>
      <c r="Y337" s="2"/>
      <c r="Z337" s="2">
        <f>PAProjects5[[#This Row],[GOU 23/24]]+PAProjects5[[#This Row],[DONOR 23/24]]</f>
        <v>0.27</v>
      </c>
      <c r="AA337" s="2">
        <v>0.44</v>
      </c>
      <c r="AB337" s="2"/>
      <c r="AC337" s="49">
        <f>PAProjects5[[#This Row],[GOU 24/25]]+PAProjects5[[#This Row],[DONOR 24/25]]</f>
        <v>0.44</v>
      </c>
    </row>
    <row r="338" spans="1:29" x14ac:dyDescent="0.25">
      <c r="A338" s="2" t="s">
        <v>1844</v>
      </c>
      <c r="B338" s="156" t="s">
        <v>1887</v>
      </c>
      <c r="C338" s="156" t="e">
        <f ca="1">PAProjects5[[#This Row],[LINKING_CODE]]=_xlfn.CONCAT(PAProjects5[[#This Row],[Project Code]]," ",PAProjects5[[#This Row],[Project Name]])</f>
        <v>#NAME?</v>
      </c>
      <c r="D338" s="156" t="e">
        <f>VLOOKUP(PAProjects5[[#This Row],[LINKING_CODE]],MasterTable[[Project Code and Name ]],1,FALSE)</f>
        <v>#N/A</v>
      </c>
      <c r="E338" s="2" t="s">
        <v>546</v>
      </c>
      <c r="F338" s="2" t="s">
        <v>1218</v>
      </c>
      <c r="G338" s="2" t="s">
        <v>236</v>
      </c>
      <c r="H338" s="2" t="s">
        <v>1113</v>
      </c>
      <c r="I338" s="2" t="s">
        <v>1802</v>
      </c>
      <c r="J338" s="2" t="s">
        <v>1759</v>
      </c>
      <c r="K338" s="2" t="str">
        <f t="shared" si="51"/>
        <v>Retooling</v>
      </c>
      <c r="L338" s="23">
        <v>44378</v>
      </c>
      <c r="M338" s="23">
        <v>45838</v>
      </c>
      <c r="N338" s="2">
        <v>0.96</v>
      </c>
      <c r="O338" s="20">
        <v>0</v>
      </c>
      <c r="P338" s="20">
        <v>0.96</v>
      </c>
      <c r="Q338" s="20">
        <f>SUMIFS(MasterTable[Estimate of Arrears at end of the current FY 2020/21 (value)],MasterTable[[Project Code and Name ]],PAProjects5[[#This Row],[LINKING_CODE]],MasterTable[Funding Source],"GoU Funded")/10^9</f>
        <v>0</v>
      </c>
      <c r="R338" s="2">
        <v>0.27</v>
      </c>
      <c r="S338" s="2"/>
      <c r="T338" s="49">
        <f>PAProjects5[[#This Row],[GOU 21/22]]+PAProjects5[[#This Row],[DONOR 21/22]]</f>
        <v>0.27</v>
      </c>
      <c r="U338" s="2">
        <v>0.13</v>
      </c>
      <c r="V338" s="2"/>
      <c r="W338" s="49">
        <f>PAProjects5[[#This Row],[GOU 22/23]]+PAProjects5[[#This Row],[DONOR 22/23]]</f>
        <v>0.13</v>
      </c>
      <c r="X338" s="2">
        <v>0.27</v>
      </c>
      <c r="Y338" s="2"/>
      <c r="Z338" s="2">
        <f>PAProjects5[[#This Row],[GOU 23/24]]+PAProjects5[[#This Row],[DONOR 23/24]]</f>
        <v>0.27</v>
      </c>
      <c r="AA338" s="2">
        <v>0.44</v>
      </c>
      <c r="AB338" s="2"/>
      <c r="AC338" s="49">
        <f>PAProjects5[[#This Row],[GOU 24/25]]+PAProjects5[[#This Row],[DONOR 24/25]]</f>
        <v>0.44</v>
      </c>
    </row>
    <row r="339" spans="1:29" x14ac:dyDescent="0.25">
      <c r="A339" s="2" t="s">
        <v>1845</v>
      </c>
      <c r="B339" s="156" t="s">
        <v>1888</v>
      </c>
      <c r="C339" s="156" t="e">
        <f ca="1">PAProjects5[[#This Row],[LINKING_CODE]]=_xlfn.CONCAT(PAProjects5[[#This Row],[Project Code]]," ",PAProjects5[[#This Row],[Project Name]])</f>
        <v>#NAME?</v>
      </c>
      <c r="D339" s="156" t="e">
        <f>VLOOKUP(PAProjects5[[#This Row],[LINKING_CODE]],MasterTable[[Project Code and Name ]],1,FALSE)</f>
        <v>#N/A</v>
      </c>
      <c r="E339" s="2" t="s">
        <v>548</v>
      </c>
      <c r="F339" s="2" t="s">
        <v>1218</v>
      </c>
      <c r="G339" s="2" t="s">
        <v>223</v>
      </c>
      <c r="H339" s="2" t="s">
        <v>1113</v>
      </c>
      <c r="I339" s="2" t="s">
        <v>1803</v>
      </c>
      <c r="J339" s="2" t="s">
        <v>1760</v>
      </c>
      <c r="K339" s="2" t="str">
        <f t="shared" si="51"/>
        <v>Retooling</v>
      </c>
      <c r="L339" s="23">
        <v>44378</v>
      </c>
      <c r="M339" s="23">
        <v>45838</v>
      </c>
      <c r="N339" s="39">
        <v>1.1100000000000001</v>
      </c>
      <c r="O339" s="20">
        <v>0</v>
      </c>
      <c r="P339" s="20">
        <v>1.1100000000000001</v>
      </c>
      <c r="Q339" s="20">
        <f>SUMIFS(MasterTable[Estimate of Arrears at end of the current FY 2020/21 (value)],MasterTable[[Project Code and Name ]],PAProjects5[[#This Row],[LINKING_CODE]],MasterTable[Funding Source],"GoU Funded")/10^9</f>
        <v>0</v>
      </c>
      <c r="R339" s="2">
        <v>0.12</v>
      </c>
      <c r="S339" s="2"/>
      <c r="T339" s="49">
        <f>PAProjects5[[#This Row],[GOU 21/22]]+PAProjects5[[#This Row],[DONOR 21/22]]</f>
        <v>0.12</v>
      </c>
      <c r="U339" s="2">
        <v>0.13</v>
      </c>
      <c r="V339" s="2"/>
      <c r="W339" s="49">
        <f>PAProjects5[[#This Row],[GOU 22/23]]+PAProjects5[[#This Row],[DONOR 22/23]]</f>
        <v>0.13</v>
      </c>
      <c r="X339" s="2">
        <v>0.27</v>
      </c>
      <c r="Y339" s="2"/>
      <c r="Z339" s="2">
        <f>PAProjects5[[#This Row],[GOU 23/24]]+PAProjects5[[#This Row],[DONOR 23/24]]</f>
        <v>0.27</v>
      </c>
      <c r="AA339" s="2">
        <v>0.44</v>
      </c>
      <c r="AB339" s="2"/>
      <c r="AC339" s="49">
        <f>PAProjects5[[#This Row],[GOU 24/25]]+PAProjects5[[#This Row],[DONOR 24/25]]</f>
        <v>0.44</v>
      </c>
    </row>
    <row r="340" spans="1:29" x14ac:dyDescent="0.25">
      <c r="A340" s="2" t="s">
        <v>1846</v>
      </c>
      <c r="B340" s="156" t="s">
        <v>1889</v>
      </c>
      <c r="C340" s="156" t="e">
        <f ca="1">PAProjects5[[#This Row],[LINKING_CODE]]=_xlfn.CONCAT(PAProjects5[[#This Row],[Project Code]]," ",PAProjects5[[#This Row],[Project Name]])</f>
        <v>#NAME?</v>
      </c>
      <c r="D340" s="156" t="e">
        <f>VLOOKUP(PAProjects5[[#This Row],[LINKING_CODE]],MasterTable[[Project Code and Name ]],1,FALSE)</f>
        <v>#N/A</v>
      </c>
      <c r="E340" s="2" t="s">
        <v>549</v>
      </c>
      <c r="F340" s="2" t="s">
        <v>1218</v>
      </c>
      <c r="G340" s="2" t="s">
        <v>221</v>
      </c>
      <c r="H340" s="2" t="s">
        <v>1113</v>
      </c>
      <c r="I340" s="2" t="s">
        <v>1804</v>
      </c>
      <c r="J340" s="2" t="s">
        <v>1761</v>
      </c>
      <c r="K340" s="2" t="str">
        <f t="shared" si="51"/>
        <v>Retooling</v>
      </c>
      <c r="L340" s="23">
        <v>44378</v>
      </c>
      <c r="M340" s="23">
        <v>45838</v>
      </c>
      <c r="N340" s="2">
        <v>0.96</v>
      </c>
      <c r="O340" s="20">
        <v>0</v>
      </c>
      <c r="P340" s="20">
        <v>0.96</v>
      </c>
      <c r="Q340" s="20">
        <f>SUMIFS(MasterTable[Estimate of Arrears at end of the current FY 2020/21 (value)],MasterTable[[Project Code and Name ]],PAProjects5[[#This Row],[LINKING_CODE]],MasterTable[Funding Source],"GoU Funded")/10^9</f>
        <v>0</v>
      </c>
      <c r="R340" s="2">
        <v>0.12</v>
      </c>
      <c r="S340" s="2"/>
      <c r="T340" s="49">
        <f>PAProjects5[[#This Row],[GOU 21/22]]+PAProjects5[[#This Row],[DONOR 21/22]]</f>
        <v>0.12</v>
      </c>
      <c r="U340" s="2">
        <v>0.13</v>
      </c>
      <c r="V340" s="2"/>
      <c r="W340" s="49">
        <f>PAProjects5[[#This Row],[GOU 22/23]]+PAProjects5[[#This Row],[DONOR 22/23]]</f>
        <v>0.13</v>
      </c>
      <c r="X340" s="2">
        <v>0.27</v>
      </c>
      <c r="Y340" s="2"/>
      <c r="Z340" s="2">
        <f>PAProjects5[[#This Row],[GOU 23/24]]+PAProjects5[[#This Row],[DONOR 23/24]]</f>
        <v>0.27</v>
      </c>
      <c r="AA340" s="2">
        <v>0.44</v>
      </c>
      <c r="AB340" s="2"/>
      <c r="AC340" s="49">
        <f>PAProjects5[[#This Row],[GOU 24/25]]+PAProjects5[[#This Row],[DONOR 24/25]]</f>
        <v>0.44</v>
      </c>
    </row>
    <row r="341" spans="1:29" x14ac:dyDescent="0.25">
      <c r="A341" s="2" t="s">
        <v>1847</v>
      </c>
      <c r="B341" s="156" t="s">
        <v>1890</v>
      </c>
      <c r="C341" s="156" t="e">
        <f ca="1">PAProjects5[[#This Row],[LINKING_CODE]]=_xlfn.CONCAT(PAProjects5[[#This Row],[Project Code]]," ",PAProjects5[[#This Row],[Project Name]])</f>
        <v>#NAME?</v>
      </c>
      <c r="D341" s="156" t="e">
        <f>VLOOKUP(PAProjects5[[#This Row],[LINKING_CODE]],MasterTable[[Project Code and Name ]],1,FALSE)</f>
        <v>#N/A</v>
      </c>
      <c r="E341" s="2" t="s">
        <v>551</v>
      </c>
      <c r="F341" s="2" t="s">
        <v>1218</v>
      </c>
      <c r="G341" s="2" t="s">
        <v>220</v>
      </c>
      <c r="H341" s="2" t="s">
        <v>1113</v>
      </c>
      <c r="I341" s="2" t="s">
        <v>1805</v>
      </c>
      <c r="J341" s="2" t="s">
        <v>1762</v>
      </c>
      <c r="K341" s="2" t="str">
        <f t="shared" si="51"/>
        <v>Retooling</v>
      </c>
      <c r="L341" s="23">
        <v>44378</v>
      </c>
      <c r="M341" s="23">
        <v>45838</v>
      </c>
      <c r="N341" s="20">
        <v>0.96</v>
      </c>
      <c r="O341" s="20">
        <v>0</v>
      </c>
      <c r="P341" s="20">
        <v>0.96</v>
      </c>
      <c r="Q341" s="20">
        <f>SUMIFS(MasterTable[Estimate of Arrears at end of the current FY 2020/21 (value)],MasterTable[[Project Code and Name ]],PAProjects5[[#This Row],[LINKING_CODE]],MasterTable[Funding Source],"GoU Funded")/10^9</f>
        <v>0</v>
      </c>
      <c r="R341" s="2">
        <v>0.12</v>
      </c>
      <c r="S341" s="2"/>
      <c r="T341" s="49">
        <f>PAProjects5[[#This Row],[GOU 21/22]]+PAProjects5[[#This Row],[DONOR 21/22]]</f>
        <v>0.12</v>
      </c>
      <c r="U341" s="2">
        <v>0.13</v>
      </c>
      <c r="V341" s="2"/>
      <c r="W341" s="49">
        <f>PAProjects5[[#This Row],[GOU 22/23]]+PAProjects5[[#This Row],[DONOR 22/23]]</f>
        <v>0.13</v>
      </c>
      <c r="X341" s="2">
        <v>0.27</v>
      </c>
      <c r="Y341" s="2"/>
      <c r="Z341" s="2">
        <f>PAProjects5[[#This Row],[GOU 23/24]]+PAProjects5[[#This Row],[DONOR 23/24]]</f>
        <v>0.27</v>
      </c>
      <c r="AA341" s="2">
        <v>0.44</v>
      </c>
      <c r="AB341" s="2"/>
      <c r="AC341" s="49">
        <f>PAProjects5[[#This Row],[GOU 24/25]]+PAProjects5[[#This Row],[DONOR 24/25]]</f>
        <v>0.44</v>
      </c>
    </row>
    <row r="342" spans="1:29" x14ac:dyDescent="0.25">
      <c r="A342" s="2" t="s">
        <v>1848</v>
      </c>
      <c r="B342" s="156" t="s">
        <v>1891</v>
      </c>
      <c r="C342" s="156" t="e">
        <f ca="1">PAProjects5[[#This Row],[LINKING_CODE]]=_xlfn.CONCAT(PAProjects5[[#This Row],[Project Code]]," ",PAProjects5[[#This Row],[Project Name]])</f>
        <v>#NAME?</v>
      </c>
      <c r="D342" s="156" t="e">
        <f>VLOOKUP(PAProjects5[[#This Row],[LINKING_CODE]],MasterTable[[Project Code and Name ]],1,FALSE)</f>
        <v>#N/A</v>
      </c>
      <c r="E342" s="2" t="s">
        <v>575</v>
      </c>
      <c r="F342" s="2" t="s">
        <v>1218</v>
      </c>
      <c r="G342" s="2" t="s">
        <v>237</v>
      </c>
      <c r="H342" s="2" t="s">
        <v>1113</v>
      </c>
      <c r="I342" s="2" t="s">
        <v>1806</v>
      </c>
      <c r="J342" s="2" t="s">
        <v>1763</v>
      </c>
      <c r="K342" s="2" t="str">
        <f t="shared" si="51"/>
        <v>Retooling</v>
      </c>
      <c r="L342" s="23">
        <v>44378</v>
      </c>
      <c r="M342" s="23">
        <v>45838</v>
      </c>
      <c r="N342" s="20">
        <v>0.96</v>
      </c>
      <c r="O342" s="20">
        <v>0</v>
      </c>
      <c r="P342" s="20">
        <v>0.96</v>
      </c>
      <c r="Q342" s="20">
        <f>SUMIFS(MasterTable[Estimate of Arrears at end of the current FY 2020/21 (value)],MasterTable[[Project Code and Name ]],PAProjects5[[#This Row],[LINKING_CODE]],MasterTable[Funding Source],"GoU Funded")/10^9</f>
        <v>0</v>
      </c>
      <c r="R342" s="2">
        <v>0.12</v>
      </c>
      <c r="S342" s="2"/>
      <c r="T342" s="49">
        <f>PAProjects5[[#This Row],[GOU 21/22]]+PAProjects5[[#This Row],[DONOR 21/22]]</f>
        <v>0.12</v>
      </c>
      <c r="U342" s="2">
        <v>0.13</v>
      </c>
      <c r="V342" s="2"/>
      <c r="W342" s="49">
        <f>PAProjects5[[#This Row],[GOU 22/23]]+PAProjects5[[#This Row],[DONOR 22/23]]</f>
        <v>0.13</v>
      </c>
      <c r="X342" s="2">
        <v>0.27</v>
      </c>
      <c r="Y342" s="2"/>
      <c r="Z342" s="2">
        <f>PAProjects5[[#This Row],[GOU 23/24]]+PAProjects5[[#This Row],[DONOR 23/24]]</f>
        <v>0.27</v>
      </c>
      <c r="AA342" s="2">
        <v>0.44</v>
      </c>
      <c r="AB342" s="2"/>
      <c r="AC342" s="49">
        <f>PAProjects5[[#This Row],[GOU 24/25]]+PAProjects5[[#This Row],[DONOR 24/25]]</f>
        <v>0.44</v>
      </c>
    </row>
    <row r="343" spans="1:29" x14ac:dyDescent="0.25">
      <c r="A343" s="2" t="s">
        <v>1849</v>
      </c>
      <c r="B343" s="156" t="s">
        <v>1892</v>
      </c>
      <c r="C343" s="156" t="e">
        <f ca="1">PAProjects5[[#This Row],[LINKING_CODE]]=_xlfn.CONCAT(PAProjects5[[#This Row],[Project Code]]," ",PAProjects5[[#This Row],[Project Name]])</f>
        <v>#NAME?</v>
      </c>
      <c r="D343" s="156" t="e">
        <f>VLOOKUP(PAProjects5[[#This Row],[LINKING_CODE]],MasterTable[[Project Code and Name ]],1,FALSE)</f>
        <v>#N/A</v>
      </c>
      <c r="E343" s="2" t="s">
        <v>577</v>
      </c>
      <c r="F343" s="2" t="s">
        <v>1218</v>
      </c>
      <c r="G343" s="2" t="s">
        <v>215</v>
      </c>
      <c r="H343" s="2" t="s">
        <v>1113</v>
      </c>
      <c r="I343" s="2" t="s">
        <v>1807</v>
      </c>
      <c r="J343" s="2" t="s">
        <v>1764</v>
      </c>
      <c r="K343" s="2" t="str">
        <f t="shared" si="51"/>
        <v>Retooling</v>
      </c>
      <c r="L343" s="23">
        <v>44378</v>
      </c>
      <c r="M343" s="23">
        <v>45838</v>
      </c>
      <c r="N343" s="20">
        <v>0.96</v>
      </c>
      <c r="O343" s="20">
        <v>0</v>
      </c>
      <c r="P343" s="20">
        <v>0.96</v>
      </c>
      <c r="Q343" s="20">
        <f>SUMIFS(MasterTable[Estimate of Arrears at end of the current FY 2020/21 (value)],MasterTable[[Project Code and Name ]],PAProjects5[[#This Row],[LINKING_CODE]],MasterTable[Funding Source],"GoU Funded")/10^9</f>
        <v>0</v>
      </c>
      <c r="R343" s="2">
        <v>0.12</v>
      </c>
      <c r="S343" s="2"/>
      <c r="T343" s="49">
        <f>PAProjects5[[#This Row],[GOU 21/22]]+PAProjects5[[#This Row],[DONOR 21/22]]</f>
        <v>0.12</v>
      </c>
      <c r="U343" s="2">
        <v>0.13</v>
      </c>
      <c r="V343" s="2"/>
      <c r="W343" s="49">
        <f>PAProjects5[[#This Row],[GOU 22/23]]+PAProjects5[[#This Row],[DONOR 22/23]]</f>
        <v>0.13</v>
      </c>
      <c r="X343" s="2">
        <v>0.27</v>
      </c>
      <c r="Y343" s="2"/>
      <c r="Z343" s="2">
        <f>PAProjects5[[#This Row],[GOU 23/24]]+PAProjects5[[#This Row],[DONOR 23/24]]</f>
        <v>0.27</v>
      </c>
      <c r="AA343" s="2">
        <v>0.44</v>
      </c>
      <c r="AB343" s="2"/>
      <c r="AC343" s="49">
        <f>PAProjects5[[#This Row],[GOU 24/25]]+PAProjects5[[#This Row],[DONOR 24/25]]</f>
        <v>0.44</v>
      </c>
    </row>
    <row r="344" spans="1:29" x14ac:dyDescent="0.25">
      <c r="A344" s="2" t="s">
        <v>1850</v>
      </c>
      <c r="B344" s="156" t="s">
        <v>1893</v>
      </c>
      <c r="C344" s="156" t="e">
        <f ca="1">PAProjects5[[#This Row],[LINKING_CODE]]=_xlfn.CONCAT(PAProjects5[[#This Row],[Project Code]]," ",PAProjects5[[#This Row],[Project Name]])</f>
        <v>#NAME?</v>
      </c>
      <c r="D344" s="156" t="e">
        <f>VLOOKUP(PAProjects5[[#This Row],[LINKING_CODE]],MasterTable[[Project Code and Name ]],1,FALSE)</f>
        <v>#N/A</v>
      </c>
      <c r="E344" s="2" t="s">
        <v>578</v>
      </c>
      <c r="F344" s="2" t="s">
        <v>1218</v>
      </c>
      <c r="G344" s="2" t="s">
        <v>214</v>
      </c>
      <c r="H344" s="2" t="s">
        <v>1113</v>
      </c>
      <c r="I344" s="2" t="s">
        <v>1808</v>
      </c>
      <c r="J344" s="2" t="s">
        <v>1765</v>
      </c>
      <c r="K344" s="2" t="str">
        <f t="shared" si="51"/>
        <v>Retooling</v>
      </c>
      <c r="L344" s="23">
        <v>44378</v>
      </c>
      <c r="M344" s="23">
        <v>45838</v>
      </c>
      <c r="N344" s="20">
        <v>0.96</v>
      </c>
      <c r="O344" s="20">
        <v>0</v>
      </c>
      <c r="P344" s="20">
        <v>0.96</v>
      </c>
      <c r="Q344" s="20">
        <f>SUMIFS(MasterTable[Estimate of Arrears at end of the current FY 2020/21 (value)],MasterTable[[Project Code and Name ]],PAProjects5[[#This Row],[LINKING_CODE]],MasterTable[Funding Source],"GoU Funded")/10^9</f>
        <v>0</v>
      </c>
      <c r="R344" s="2">
        <v>0.12</v>
      </c>
      <c r="S344" s="2"/>
      <c r="T344" s="49">
        <f>PAProjects5[[#This Row],[GOU 21/22]]+PAProjects5[[#This Row],[DONOR 21/22]]</f>
        <v>0.12</v>
      </c>
      <c r="U344" s="2">
        <v>0.13</v>
      </c>
      <c r="V344" s="2"/>
      <c r="W344" s="49">
        <f>PAProjects5[[#This Row],[GOU 22/23]]+PAProjects5[[#This Row],[DONOR 22/23]]</f>
        <v>0.13</v>
      </c>
      <c r="X344" s="2">
        <v>0.27</v>
      </c>
      <c r="Y344" s="2"/>
      <c r="Z344" s="2">
        <f>PAProjects5[[#This Row],[GOU 23/24]]+PAProjects5[[#This Row],[DONOR 23/24]]</f>
        <v>0.27</v>
      </c>
      <c r="AA344" s="2">
        <v>0.44</v>
      </c>
      <c r="AB344" s="2"/>
      <c r="AC344" s="49">
        <f>PAProjects5[[#This Row],[GOU 24/25]]+PAProjects5[[#This Row],[DONOR 24/25]]</f>
        <v>0.44</v>
      </c>
    </row>
    <row r="345" spans="1:29" x14ac:dyDescent="0.25">
      <c r="A345" s="2" t="s">
        <v>1851</v>
      </c>
      <c r="B345" s="156" t="s">
        <v>1894</v>
      </c>
      <c r="C345" s="156" t="e">
        <f ca="1">PAProjects5[[#This Row],[LINKING_CODE]]=_xlfn.CONCAT(PAProjects5[[#This Row],[Project Code]]," ",PAProjects5[[#This Row],[Project Name]])</f>
        <v>#NAME?</v>
      </c>
      <c r="D345" s="156" t="e">
        <f>VLOOKUP(PAProjects5[[#This Row],[LINKING_CODE]],MasterTable[[Project Code and Name ]],1,FALSE)</f>
        <v>#N/A</v>
      </c>
      <c r="E345" s="2" t="s">
        <v>579</v>
      </c>
      <c r="F345" s="2" t="s">
        <v>1218</v>
      </c>
      <c r="G345" s="2" t="s">
        <v>213</v>
      </c>
      <c r="H345" s="2" t="s">
        <v>1113</v>
      </c>
      <c r="I345" s="2" t="s">
        <v>1809</v>
      </c>
      <c r="J345" s="2" t="s">
        <v>1766</v>
      </c>
      <c r="K345" s="2" t="str">
        <f t="shared" si="51"/>
        <v>Retooling</v>
      </c>
      <c r="L345" s="23">
        <v>44378</v>
      </c>
      <c r="M345" s="23">
        <v>45838</v>
      </c>
      <c r="N345" s="20">
        <v>0.96</v>
      </c>
      <c r="O345" s="20">
        <v>0</v>
      </c>
      <c r="P345" s="20">
        <v>0.96</v>
      </c>
      <c r="Q345" s="20">
        <f>SUMIFS(MasterTable[Estimate of Arrears at end of the current FY 2020/21 (value)],MasterTable[[Project Code and Name ]],PAProjects5[[#This Row],[LINKING_CODE]],MasterTable[Funding Source],"GoU Funded")/10^9</f>
        <v>0</v>
      </c>
      <c r="R345" s="2">
        <v>0.12</v>
      </c>
      <c r="S345" s="2"/>
      <c r="T345" s="49">
        <f>PAProjects5[[#This Row],[GOU 21/22]]+PAProjects5[[#This Row],[DONOR 21/22]]</f>
        <v>0.12</v>
      </c>
      <c r="U345" s="2">
        <v>0.13</v>
      </c>
      <c r="V345" s="2"/>
      <c r="W345" s="49">
        <f>PAProjects5[[#This Row],[GOU 22/23]]+PAProjects5[[#This Row],[DONOR 22/23]]</f>
        <v>0.13</v>
      </c>
      <c r="X345" s="2">
        <v>0.27</v>
      </c>
      <c r="Y345" s="2"/>
      <c r="Z345" s="2">
        <f>PAProjects5[[#This Row],[GOU 23/24]]+PAProjects5[[#This Row],[DONOR 23/24]]</f>
        <v>0.27</v>
      </c>
      <c r="AA345" s="2">
        <v>0.44</v>
      </c>
      <c r="AB345" s="2"/>
      <c r="AC345" s="49">
        <f>PAProjects5[[#This Row],[GOU 24/25]]+PAProjects5[[#This Row],[DONOR 24/25]]</f>
        <v>0.44</v>
      </c>
    </row>
    <row r="346" spans="1:29" x14ac:dyDescent="0.25">
      <c r="A346" s="2" t="s">
        <v>1852</v>
      </c>
      <c r="B346" s="156" t="s">
        <v>1895</v>
      </c>
      <c r="C346" s="156" t="e">
        <f ca="1">PAProjects5[[#This Row],[LINKING_CODE]]=_xlfn.CONCAT(PAProjects5[[#This Row],[Project Code]]," ",PAProjects5[[#This Row],[Project Name]])</f>
        <v>#NAME?</v>
      </c>
      <c r="D346" s="156" t="e">
        <f>VLOOKUP(PAProjects5[[#This Row],[LINKING_CODE]],MasterTable[[Project Code and Name ]],1,FALSE)</f>
        <v>#N/A</v>
      </c>
      <c r="E346" s="2" t="s">
        <v>581</v>
      </c>
      <c r="F346" s="2" t="s">
        <v>1218</v>
      </c>
      <c r="G346" s="2" t="s">
        <v>212</v>
      </c>
      <c r="H346" s="2" t="s">
        <v>1113</v>
      </c>
      <c r="I346" s="2" t="s">
        <v>1810</v>
      </c>
      <c r="J346" s="2" t="s">
        <v>1767</v>
      </c>
      <c r="K346" s="2" t="str">
        <f t="shared" si="51"/>
        <v>Retooling</v>
      </c>
      <c r="L346" s="23">
        <v>44378</v>
      </c>
      <c r="M346" s="23">
        <v>45838</v>
      </c>
      <c r="N346" s="20">
        <v>0.96</v>
      </c>
      <c r="O346" s="20">
        <v>0</v>
      </c>
      <c r="P346" s="20">
        <v>0.96</v>
      </c>
      <c r="Q346" s="20">
        <f>SUMIFS(MasterTable[Estimate of Arrears at end of the current FY 2020/21 (value)],MasterTable[[Project Code and Name ]],PAProjects5[[#This Row],[LINKING_CODE]],MasterTable[Funding Source],"GoU Funded")/10^9</f>
        <v>0</v>
      </c>
      <c r="R346" s="2">
        <v>0.12</v>
      </c>
      <c r="S346" s="2"/>
      <c r="T346" s="49">
        <f>PAProjects5[[#This Row],[GOU 21/22]]+PAProjects5[[#This Row],[DONOR 21/22]]</f>
        <v>0.12</v>
      </c>
      <c r="U346" s="2">
        <v>0.13</v>
      </c>
      <c r="V346" s="2"/>
      <c r="W346" s="49">
        <f>PAProjects5[[#This Row],[GOU 22/23]]+PAProjects5[[#This Row],[DONOR 22/23]]</f>
        <v>0.13</v>
      </c>
      <c r="X346" s="2">
        <v>0.27</v>
      </c>
      <c r="Y346" s="2"/>
      <c r="Z346" s="2">
        <f>PAProjects5[[#This Row],[GOU 23/24]]+PAProjects5[[#This Row],[DONOR 23/24]]</f>
        <v>0.27</v>
      </c>
      <c r="AA346" s="2">
        <v>0.44</v>
      </c>
      <c r="AB346" s="2"/>
      <c r="AC346" s="49">
        <f>PAProjects5[[#This Row],[GOU 24/25]]+PAProjects5[[#This Row],[DONOR 24/25]]</f>
        <v>0.44</v>
      </c>
    </row>
    <row r="347" spans="1:29" x14ac:dyDescent="0.25">
      <c r="A347" s="2" t="s">
        <v>1853</v>
      </c>
      <c r="B347" s="156" t="s">
        <v>1896</v>
      </c>
      <c r="C347" s="156" t="e">
        <f ca="1">PAProjects5[[#This Row],[LINKING_CODE]]=_xlfn.CONCAT(PAProjects5[[#This Row],[Project Code]]," ",PAProjects5[[#This Row],[Project Name]])</f>
        <v>#NAME?</v>
      </c>
      <c r="D347" s="156" t="e">
        <f>VLOOKUP(PAProjects5[[#This Row],[LINKING_CODE]],MasterTable[[Project Code and Name ]],1,FALSE)</f>
        <v>#N/A</v>
      </c>
      <c r="E347" s="2" t="s">
        <v>583</v>
      </c>
      <c r="F347" s="2" t="s">
        <v>1218</v>
      </c>
      <c r="G347" s="2" t="s">
        <v>211</v>
      </c>
      <c r="H347" s="2" t="s">
        <v>1113</v>
      </c>
      <c r="I347" s="2" t="s">
        <v>1811</v>
      </c>
      <c r="J347" s="2" t="s">
        <v>1768</v>
      </c>
      <c r="K347" s="2" t="str">
        <f t="shared" si="51"/>
        <v>Retooling</v>
      </c>
      <c r="L347" s="23">
        <v>44378</v>
      </c>
      <c r="M347" s="23">
        <v>45838</v>
      </c>
      <c r="N347" s="20">
        <v>0.96</v>
      </c>
      <c r="O347" s="20">
        <v>0</v>
      </c>
      <c r="P347" s="20">
        <v>0.96</v>
      </c>
      <c r="Q347" s="20">
        <f>SUMIFS(MasterTable[Estimate of Arrears at end of the current FY 2020/21 (value)],MasterTable[[Project Code and Name ]],PAProjects5[[#This Row],[LINKING_CODE]],MasterTable[Funding Source],"GoU Funded")/10^9</f>
        <v>0</v>
      </c>
      <c r="R347" s="2">
        <v>0.12</v>
      </c>
      <c r="S347" s="2"/>
      <c r="T347" s="49">
        <f>PAProjects5[[#This Row],[GOU 21/22]]+PAProjects5[[#This Row],[DONOR 21/22]]</f>
        <v>0.12</v>
      </c>
      <c r="U347" s="2">
        <v>0.13</v>
      </c>
      <c r="V347" s="2"/>
      <c r="W347" s="49">
        <f>PAProjects5[[#This Row],[GOU 22/23]]+PAProjects5[[#This Row],[DONOR 22/23]]</f>
        <v>0.13</v>
      </c>
      <c r="X347" s="2">
        <v>0.27</v>
      </c>
      <c r="Y347" s="2"/>
      <c r="Z347" s="2">
        <f>PAProjects5[[#This Row],[GOU 23/24]]+PAProjects5[[#This Row],[DONOR 23/24]]</f>
        <v>0.27</v>
      </c>
      <c r="AA347" s="2">
        <v>0.44</v>
      </c>
      <c r="AB347" s="2"/>
      <c r="AC347" s="49">
        <f>PAProjects5[[#This Row],[GOU 24/25]]+PAProjects5[[#This Row],[DONOR 24/25]]</f>
        <v>0.44</v>
      </c>
    </row>
    <row r="348" spans="1:29" x14ac:dyDescent="0.25">
      <c r="A348" s="2" t="s">
        <v>1854</v>
      </c>
      <c r="B348" s="156" t="s">
        <v>1897</v>
      </c>
      <c r="C348" s="156" t="e">
        <f ca="1">PAProjects5[[#This Row],[LINKING_CODE]]=_xlfn.CONCAT(PAProjects5[[#This Row],[Project Code]]," ",PAProjects5[[#This Row],[Project Name]])</f>
        <v>#NAME?</v>
      </c>
      <c r="D348" s="156" t="e">
        <f>VLOOKUP(PAProjects5[[#This Row],[LINKING_CODE]],MasterTable[[Project Code and Name ]],1,FALSE)</f>
        <v>#N/A</v>
      </c>
      <c r="E348" s="2" t="s">
        <v>584</v>
      </c>
      <c r="F348" s="2" t="s">
        <v>1218</v>
      </c>
      <c r="G348" s="2" t="s">
        <v>209</v>
      </c>
      <c r="H348" s="2" t="s">
        <v>1113</v>
      </c>
      <c r="I348" s="2" t="s">
        <v>1812</v>
      </c>
      <c r="J348" s="2" t="s">
        <v>1769</v>
      </c>
      <c r="K348" s="2" t="str">
        <f t="shared" si="51"/>
        <v>Retooling</v>
      </c>
      <c r="L348" s="23">
        <v>44378</v>
      </c>
      <c r="M348" s="23">
        <v>45838</v>
      </c>
      <c r="N348" s="20">
        <v>0.96</v>
      </c>
      <c r="O348" s="20">
        <v>0</v>
      </c>
      <c r="P348" s="20">
        <v>0.96</v>
      </c>
      <c r="Q348" s="20">
        <f>SUMIFS(MasterTable[Estimate of Arrears at end of the current FY 2020/21 (value)],MasterTable[[Project Code and Name ]],PAProjects5[[#This Row],[LINKING_CODE]],MasterTable[Funding Source],"GoU Funded")/10^9</f>
        <v>0</v>
      </c>
      <c r="R348" s="2">
        <v>0.12</v>
      </c>
      <c r="S348" s="2"/>
      <c r="T348" s="49">
        <f>PAProjects5[[#This Row],[GOU 21/22]]+PAProjects5[[#This Row],[DONOR 21/22]]</f>
        <v>0.12</v>
      </c>
      <c r="U348" s="2">
        <v>0.13</v>
      </c>
      <c r="V348" s="2"/>
      <c r="W348" s="49">
        <f>PAProjects5[[#This Row],[GOU 22/23]]+PAProjects5[[#This Row],[DONOR 22/23]]</f>
        <v>0.13</v>
      </c>
      <c r="X348" s="2">
        <v>0.27</v>
      </c>
      <c r="Y348" s="2"/>
      <c r="Z348" s="2">
        <f>PAProjects5[[#This Row],[GOU 23/24]]+PAProjects5[[#This Row],[DONOR 23/24]]</f>
        <v>0.27</v>
      </c>
      <c r="AA348" s="2">
        <v>0.44</v>
      </c>
      <c r="AB348" s="2"/>
      <c r="AC348" s="49">
        <f>PAProjects5[[#This Row],[GOU 24/25]]+PAProjects5[[#This Row],[DONOR 24/25]]</f>
        <v>0.44</v>
      </c>
    </row>
    <row r="349" spans="1:29" x14ac:dyDescent="0.25">
      <c r="A349" s="2" t="s">
        <v>1855</v>
      </c>
      <c r="B349" s="156" t="s">
        <v>1898</v>
      </c>
      <c r="C349" s="156" t="e">
        <f ca="1">PAProjects5[[#This Row],[LINKING_CODE]]=_xlfn.CONCAT(PAProjects5[[#This Row],[Project Code]]," ",PAProjects5[[#This Row],[Project Name]])</f>
        <v>#NAME?</v>
      </c>
      <c r="D349" s="156" t="e">
        <f>VLOOKUP(PAProjects5[[#This Row],[LINKING_CODE]],MasterTable[[Project Code and Name ]],1,FALSE)</f>
        <v>#N/A</v>
      </c>
      <c r="E349" s="2" t="s">
        <v>586</v>
      </c>
      <c r="F349" s="2" t="s">
        <v>1218</v>
      </c>
      <c r="G349" s="2" t="s">
        <v>208</v>
      </c>
      <c r="H349" s="2" t="s">
        <v>1113</v>
      </c>
      <c r="I349" s="2" t="s">
        <v>1813</v>
      </c>
      <c r="J349" s="2" t="s">
        <v>1770</v>
      </c>
      <c r="K349" s="2" t="str">
        <f t="shared" si="51"/>
        <v>Retooling</v>
      </c>
      <c r="L349" s="23">
        <v>44378</v>
      </c>
      <c r="M349" s="23">
        <v>45838</v>
      </c>
      <c r="N349" s="20">
        <v>0.96</v>
      </c>
      <c r="O349" s="20">
        <v>0</v>
      </c>
      <c r="P349" s="20">
        <v>0.96</v>
      </c>
      <c r="Q349" s="20">
        <f>SUMIFS(MasterTable[Estimate of Arrears at end of the current FY 2020/21 (value)],MasterTable[[Project Code and Name ]],PAProjects5[[#This Row],[LINKING_CODE]],MasterTable[Funding Source],"GoU Funded")/10^9</f>
        <v>0</v>
      </c>
      <c r="R349" s="2">
        <v>0.12</v>
      </c>
      <c r="S349" s="2"/>
      <c r="T349" s="49">
        <f>PAProjects5[[#This Row],[GOU 21/22]]+PAProjects5[[#This Row],[DONOR 21/22]]</f>
        <v>0.12</v>
      </c>
      <c r="U349" s="2">
        <v>0.13</v>
      </c>
      <c r="V349" s="2"/>
      <c r="W349" s="49">
        <f>PAProjects5[[#This Row],[GOU 22/23]]+PAProjects5[[#This Row],[DONOR 22/23]]</f>
        <v>0.13</v>
      </c>
      <c r="X349" s="2">
        <v>0.27</v>
      </c>
      <c r="Y349" s="2"/>
      <c r="Z349" s="2">
        <f>PAProjects5[[#This Row],[GOU 23/24]]+PAProjects5[[#This Row],[DONOR 23/24]]</f>
        <v>0.27</v>
      </c>
      <c r="AA349" s="2">
        <v>0.44</v>
      </c>
      <c r="AB349" s="2"/>
      <c r="AC349" s="49">
        <f>PAProjects5[[#This Row],[GOU 24/25]]+PAProjects5[[#This Row],[DONOR 24/25]]</f>
        <v>0.44</v>
      </c>
    </row>
    <row r="350" spans="1:29" x14ac:dyDescent="0.25">
      <c r="A350" s="2" t="s">
        <v>1856</v>
      </c>
      <c r="B350" s="156" t="s">
        <v>1899</v>
      </c>
      <c r="C350" s="156" t="e">
        <f ca="1">PAProjects5[[#This Row],[LINKING_CODE]]=_xlfn.CONCAT(PAProjects5[[#This Row],[Project Code]]," ",PAProjects5[[#This Row],[Project Name]])</f>
        <v>#NAME?</v>
      </c>
      <c r="D350" s="156" t="e">
        <f>VLOOKUP(PAProjects5[[#This Row],[LINKING_CODE]],MasterTable[[Project Code and Name ]],1,FALSE)</f>
        <v>#N/A</v>
      </c>
      <c r="E350" s="2" t="s">
        <v>588</v>
      </c>
      <c r="F350" s="2" t="s">
        <v>1218</v>
      </c>
      <c r="G350" s="2" t="s">
        <v>207</v>
      </c>
      <c r="H350" s="2" t="s">
        <v>1113</v>
      </c>
      <c r="I350" s="2" t="s">
        <v>1814</v>
      </c>
      <c r="J350" s="2" t="s">
        <v>1771</v>
      </c>
      <c r="K350" s="2" t="str">
        <f t="shared" si="51"/>
        <v>Retooling</v>
      </c>
      <c r="L350" s="23">
        <v>44378</v>
      </c>
      <c r="M350" s="23">
        <v>45838</v>
      </c>
      <c r="N350" s="20">
        <v>0.96</v>
      </c>
      <c r="O350" s="20">
        <v>0</v>
      </c>
      <c r="P350" s="20">
        <v>0.96</v>
      </c>
      <c r="Q350" s="20">
        <f>SUMIFS(MasterTable[Estimate of Arrears at end of the current FY 2020/21 (value)],MasterTable[[Project Code and Name ]],PAProjects5[[#This Row],[LINKING_CODE]],MasterTable[Funding Source],"GoU Funded")/10^9</f>
        <v>0</v>
      </c>
      <c r="R350" s="2">
        <v>0.12</v>
      </c>
      <c r="S350" s="2"/>
      <c r="T350" s="49">
        <f>PAProjects5[[#This Row],[GOU 21/22]]+PAProjects5[[#This Row],[DONOR 21/22]]</f>
        <v>0.12</v>
      </c>
      <c r="U350" s="2">
        <v>0.13</v>
      </c>
      <c r="V350" s="2"/>
      <c r="W350" s="49">
        <f>PAProjects5[[#This Row],[GOU 22/23]]+PAProjects5[[#This Row],[DONOR 22/23]]</f>
        <v>0.13</v>
      </c>
      <c r="X350" s="2">
        <v>0.27</v>
      </c>
      <c r="Y350" s="2"/>
      <c r="Z350" s="2">
        <f>PAProjects5[[#This Row],[GOU 23/24]]+PAProjects5[[#This Row],[DONOR 23/24]]</f>
        <v>0.27</v>
      </c>
      <c r="AA350" s="2">
        <v>0.44</v>
      </c>
      <c r="AB350" s="2"/>
      <c r="AC350" s="49">
        <f>PAProjects5[[#This Row],[GOU 24/25]]+PAProjects5[[#This Row],[DONOR 24/25]]</f>
        <v>0.44</v>
      </c>
    </row>
    <row r="351" spans="1:29" x14ac:dyDescent="0.25">
      <c r="A351" s="2" t="s">
        <v>1857</v>
      </c>
      <c r="B351" s="156" t="s">
        <v>1900</v>
      </c>
      <c r="C351" s="156" t="e">
        <f ca="1">PAProjects5[[#This Row],[LINKING_CODE]]=_xlfn.CONCAT(PAProjects5[[#This Row],[Project Code]]," ",PAProjects5[[#This Row],[Project Name]])</f>
        <v>#NAME?</v>
      </c>
      <c r="D351" s="156" t="e">
        <f>VLOOKUP(PAProjects5[[#This Row],[LINKING_CODE]],MasterTable[[Project Code and Name ]],1,FALSE)</f>
        <v>#N/A</v>
      </c>
      <c r="E351" s="2" t="s">
        <v>598</v>
      </c>
      <c r="F351" s="2" t="s">
        <v>1218</v>
      </c>
      <c r="G351" s="2" t="s">
        <v>206</v>
      </c>
      <c r="H351" s="2" t="s">
        <v>1113</v>
      </c>
      <c r="I351" s="2" t="s">
        <v>1815</v>
      </c>
      <c r="J351" s="2" t="s">
        <v>1772</v>
      </c>
      <c r="K351" s="2" t="str">
        <f t="shared" si="51"/>
        <v>Retooling</v>
      </c>
      <c r="L351" s="23">
        <v>44378</v>
      </c>
      <c r="M351" s="23">
        <v>45838</v>
      </c>
      <c r="N351" s="20">
        <v>0.96</v>
      </c>
      <c r="O351" s="20">
        <v>0</v>
      </c>
      <c r="P351" s="20">
        <v>0.96</v>
      </c>
      <c r="Q351" s="20">
        <f>SUMIFS(MasterTable[Estimate of Arrears at end of the current FY 2020/21 (value)],MasterTable[[Project Code and Name ]],PAProjects5[[#This Row],[LINKING_CODE]],MasterTable[Funding Source],"GoU Funded")/10^9</f>
        <v>0</v>
      </c>
      <c r="R351" s="2">
        <v>0.12</v>
      </c>
      <c r="S351" s="2"/>
      <c r="T351" s="49">
        <f>PAProjects5[[#This Row],[GOU 21/22]]+PAProjects5[[#This Row],[DONOR 21/22]]</f>
        <v>0.12</v>
      </c>
      <c r="U351" s="2">
        <v>0.13</v>
      </c>
      <c r="V351" s="2"/>
      <c r="W351" s="49">
        <f>PAProjects5[[#This Row],[GOU 22/23]]+PAProjects5[[#This Row],[DONOR 22/23]]</f>
        <v>0.13</v>
      </c>
      <c r="X351" s="2">
        <v>0.27</v>
      </c>
      <c r="Y351" s="2"/>
      <c r="Z351" s="2">
        <f>PAProjects5[[#This Row],[GOU 23/24]]+PAProjects5[[#This Row],[DONOR 23/24]]</f>
        <v>0.27</v>
      </c>
      <c r="AA351" s="2">
        <v>0.44</v>
      </c>
      <c r="AB351" s="2"/>
      <c r="AC351" s="49">
        <f>PAProjects5[[#This Row],[GOU 24/25]]+PAProjects5[[#This Row],[DONOR 24/25]]</f>
        <v>0.44</v>
      </c>
    </row>
    <row r="352" spans="1:29" x14ac:dyDescent="0.25">
      <c r="A352" s="2" t="s">
        <v>1858</v>
      </c>
      <c r="B352" s="156" t="s">
        <v>1901</v>
      </c>
      <c r="C352" s="156" t="e">
        <f ca="1">PAProjects5[[#This Row],[LINKING_CODE]]=_xlfn.CONCAT(PAProjects5[[#This Row],[Project Code]]," ",PAProjects5[[#This Row],[Project Name]])</f>
        <v>#NAME?</v>
      </c>
      <c r="D352" s="156" t="e">
        <f>VLOOKUP(PAProjects5[[#This Row],[LINKING_CODE]],MasterTable[[Project Code and Name ]],1,FALSE)</f>
        <v>#N/A</v>
      </c>
      <c r="E352" s="2" t="s">
        <v>599</v>
      </c>
      <c r="F352" s="2" t="s">
        <v>1218</v>
      </c>
      <c r="G352" s="2" t="s">
        <v>205</v>
      </c>
      <c r="H352" s="2" t="s">
        <v>1113</v>
      </c>
      <c r="I352" s="2" t="s">
        <v>1816</v>
      </c>
      <c r="J352" s="2" t="s">
        <v>1773</v>
      </c>
      <c r="K352" s="2" t="str">
        <f t="shared" si="51"/>
        <v>Retooling</v>
      </c>
      <c r="L352" s="23">
        <v>44378</v>
      </c>
      <c r="M352" s="23">
        <v>45838</v>
      </c>
      <c r="N352" s="20">
        <v>0.96</v>
      </c>
      <c r="O352" s="20">
        <v>0</v>
      </c>
      <c r="P352" s="20">
        <v>0.96</v>
      </c>
      <c r="Q352" s="20">
        <f>SUMIFS(MasterTable[Estimate of Arrears at end of the current FY 2020/21 (value)],MasterTable[[Project Code and Name ]],PAProjects5[[#This Row],[LINKING_CODE]],MasterTable[Funding Source],"GoU Funded")/10^9</f>
        <v>0</v>
      </c>
      <c r="R352" s="2">
        <v>0.12</v>
      </c>
      <c r="S352" s="2"/>
      <c r="T352" s="49">
        <f>PAProjects5[[#This Row],[GOU 21/22]]+PAProjects5[[#This Row],[DONOR 21/22]]</f>
        <v>0.12</v>
      </c>
      <c r="U352" s="2">
        <v>0.13</v>
      </c>
      <c r="V352" s="2"/>
      <c r="W352" s="49">
        <f>PAProjects5[[#This Row],[GOU 22/23]]+PAProjects5[[#This Row],[DONOR 22/23]]</f>
        <v>0.13</v>
      </c>
      <c r="X352" s="2">
        <v>0.27</v>
      </c>
      <c r="Y352" s="2"/>
      <c r="Z352" s="2">
        <f>PAProjects5[[#This Row],[GOU 23/24]]+PAProjects5[[#This Row],[DONOR 23/24]]</f>
        <v>0.27</v>
      </c>
      <c r="AA352" s="2">
        <v>0.44</v>
      </c>
      <c r="AB352" s="2"/>
      <c r="AC352" s="49">
        <f>PAProjects5[[#This Row],[GOU 24/25]]+PAProjects5[[#This Row],[DONOR 24/25]]</f>
        <v>0.44</v>
      </c>
    </row>
    <row r="353" spans="1:29" x14ac:dyDescent="0.25">
      <c r="A353" s="2" t="s">
        <v>1859</v>
      </c>
      <c r="B353" s="156" t="s">
        <v>1902</v>
      </c>
      <c r="C353" s="156" t="e">
        <f ca="1">PAProjects5[[#This Row],[LINKING_CODE]]=_xlfn.CONCAT(PAProjects5[[#This Row],[Project Code]]," ",PAProjects5[[#This Row],[Project Name]])</f>
        <v>#NAME?</v>
      </c>
      <c r="D353" s="156" t="e">
        <f>VLOOKUP(PAProjects5[[#This Row],[LINKING_CODE]],MasterTable[[Project Code and Name ]],1,FALSE)</f>
        <v>#N/A</v>
      </c>
      <c r="E353" s="2" t="s">
        <v>601</v>
      </c>
      <c r="F353" s="2" t="s">
        <v>1218</v>
      </c>
      <c r="G353" s="2" t="s">
        <v>202</v>
      </c>
      <c r="H353" s="2" t="s">
        <v>1113</v>
      </c>
      <c r="I353" s="2" t="s">
        <v>1817</v>
      </c>
      <c r="J353" s="2" t="s">
        <v>1774</v>
      </c>
      <c r="K353" s="2" t="str">
        <f t="shared" si="51"/>
        <v>Retooling</v>
      </c>
      <c r="L353" s="23">
        <v>44378</v>
      </c>
      <c r="M353" s="23">
        <v>45838</v>
      </c>
      <c r="N353" s="20">
        <v>0.96</v>
      </c>
      <c r="O353" s="20">
        <v>0</v>
      </c>
      <c r="P353" s="20">
        <v>0.96</v>
      </c>
      <c r="Q353" s="20">
        <f>SUMIFS(MasterTable[Estimate of Arrears at end of the current FY 2020/21 (value)],MasterTable[[Project Code and Name ]],PAProjects5[[#This Row],[LINKING_CODE]],MasterTable[Funding Source],"GoU Funded")/10^9</f>
        <v>0</v>
      </c>
      <c r="R353" s="2">
        <v>0.12</v>
      </c>
      <c r="S353" s="2"/>
      <c r="T353" s="49">
        <f>PAProjects5[[#This Row],[GOU 21/22]]+PAProjects5[[#This Row],[DONOR 21/22]]</f>
        <v>0.12</v>
      </c>
      <c r="U353" s="2">
        <v>0.13</v>
      </c>
      <c r="V353" s="2"/>
      <c r="W353" s="49">
        <f>PAProjects5[[#This Row],[GOU 22/23]]+PAProjects5[[#This Row],[DONOR 22/23]]</f>
        <v>0.13</v>
      </c>
      <c r="X353" s="2">
        <v>0.27</v>
      </c>
      <c r="Y353" s="2"/>
      <c r="Z353" s="2">
        <f>PAProjects5[[#This Row],[GOU 23/24]]+PAProjects5[[#This Row],[DONOR 23/24]]</f>
        <v>0.27</v>
      </c>
      <c r="AA353" s="2">
        <v>0.44</v>
      </c>
      <c r="AB353" s="2"/>
      <c r="AC353" s="49">
        <f>PAProjects5[[#This Row],[GOU 24/25]]+PAProjects5[[#This Row],[DONOR 24/25]]</f>
        <v>0.44</v>
      </c>
    </row>
    <row r="354" spans="1:29" x14ac:dyDescent="0.25">
      <c r="A354" s="2" t="s">
        <v>1860</v>
      </c>
      <c r="B354" s="156" t="s">
        <v>1903</v>
      </c>
      <c r="C354" s="156" t="e">
        <f ca="1">PAProjects5[[#This Row],[LINKING_CODE]]=_xlfn.CONCAT(PAProjects5[[#This Row],[Project Code]]," ",PAProjects5[[#This Row],[Project Name]])</f>
        <v>#NAME?</v>
      </c>
      <c r="D354" s="156" t="e">
        <f>VLOOKUP(PAProjects5[[#This Row],[LINKING_CODE]],MasterTable[[Project Code and Name ]],1,FALSE)</f>
        <v>#N/A</v>
      </c>
      <c r="E354" s="2" t="s">
        <v>602</v>
      </c>
      <c r="F354" s="2" t="s">
        <v>1218</v>
      </c>
      <c r="G354" s="2" t="s">
        <v>231</v>
      </c>
      <c r="H354" s="2" t="s">
        <v>1113</v>
      </c>
      <c r="I354" s="2" t="s">
        <v>1818</v>
      </c>
      <c r="J354" s="2" t="s">
        <v>1775</v>
      </c>
      <c r="K354" s="2" t="str">
        <f t="shared" si="51"/>
        <v>Retooling</v>
      </c>
      <c r="L354" s="23">
        <v>44378</v>
      </c>
      <c r="M354" s="23">
        <v>45838</v>
      </c>
      <c r="N354" s="20">
        <v>0.96</v>
      </c>
      <c r="O354" s="20">
        <v>0</v>
      </c>
      <c r="P354" s="20">
        <v>0.96</v>
      </c>
      <c r="Q354" s="20">
        <f>SUMIFS(MasterTable[Estimate of Arrears at end of the current FY 2020/21 (value)],MasterTable[[Project Code and Name ]],PAProjects5[[#This Row],[LINKING_CODE]],MasterTable[Funding Source],"GoU Funded")/10^9</f>
        <v>0</v>
      </c>
      <c r="R354" s="2">
        <v>0.12</v>
      </c>
      <c r="S354" s="2"/>
      <c r="T354" s="49">
        <f>PAProjects5[[#This Row],[GOU 21/22]]+PAProjects5[[#This Row],[DONOR 21/22]]</f>
        <v>0.12</v>
      </c>
      <c r="U354" s="2">
        <v>0.13</v>
      </c>
      <c r="V354" s="2"/>
      <c r="W354" s="49">
        <f>PAProjects5[[#This Row],[GOU 22/23]]+PAProjects5[[#This Row],[DONOR 22/23]]</f>
        <v>0.13</v>
      </c>
      <c r="X354" s="2">
        <v>0.27</v>
      </c>
      <c r="Y354" s="2"/>
      <c r="Z354" s="2">
        <f>PAProjects5[[#This Row],[GOU 23/24]]+PAProjects5[[#This Row],[DONOR 23/24]]</f>
        <v>0.27</v>
      </c>
      <c r="AA354" s="2">
        <v>0.44</v>
      </c>
      <c r="AB354" s="2"/>
      <c r="AC354" s="49">
        <f>PAProjects5[[#This Row],[GOU 24/25]]+PAProjects5[[#This Row],[DONOR 24/25]]</f>
        <v>0.44</v>
      </c>
    </row>
    <row r="355" spans="1:29" x14ac:dyDescent="0.25">
      <c r="A355" s="2" t="s">
        <v>1861</v>
      </c>
      <c r="B355" s="156" t="s">
        <v>1904</v>
      </c>
      <c r="C355" s="156" t="e">
        <f ca="1">PAProjects5[[#This Row],[LINKING_CODE]]=_xlfn.CONCAT(PAProjects5[[#This Row],[Project Code]]," ",PAProjects5[[#This Row],[Project Name]])</f>
        <v>#NAME?</v>
      </c>
      <c r="D355" s="156" t="e">
        <f>VLOOKUP(PAProjects5[[#This Row],[LINKING_CODE]],MasterTable[[Project Code and Name ]],1,FALSE)</f>
        <v>#N/A</v>
      </c>
      <c r="E355" s="2" t="s">
        <v>603</v>
      </c>
      <c r="F355" s="2" t="s">
        <v>1218</v>
      </c>
      <c r="G355" s="2" t="s">
        <v>204</v>
      </c>
      <c r="H355" s="2" t="s">
        <v>1113</v>
      </c>
      <c r="I355" s="2" t="s">
        <v>1819</v>
      </c>
      <c r="J355" s="2" t="s">
        <v>1776</v>
      </c>
      <c r="K355" s="2" t="str">
        <f t="shared" si="51"/>
        <v>Retooling</v>
      </c>
      <c r="L355" s="23">
        <v>44378</v>
      </c>
      <c r="M355" s="23">
        <v>45838</v>
      </c>
      <c r="N355" s="20">
        <v>0.96</v>
      </c>
      <c r="O355" s="20">
        <v>0</v>
      </c>
      <c r="P355" s="20">
        <v>0.96</v>
      </c>
      <c r="Q355" s="20">
        <f>SUMIFS(MasterTable[Estimate of Arrears at end of the current FY 2020/21 (value)],MasterTable[[Project Code and Name ]],PAProjects5[[#This Row],[LINKING_CODE]],MasterTable[Funding Source],"GoU Funded")/10^9</f>
        <v>0</v>
      </c>
      <c r="R355" s="2">
        <v>0.12</v>
      </c>
      <c r="S355" s="2"/>
      <c r="T355" s="49">
        <f>PAProjects5[[#This Row],[GOU 21/22]]+PAProjects5[[#This Row],[DONOR 21/22]]</f>
        <v>0.12</v>
      </c>
      <c r="U355" s="2">
        <v>0.13</v>
      </c>
      <c r="V355" s="2"/>
      <c r="W355" s="49">
        <f>PAProjects5[[#This Row],[GOU 22/23]]+PAProjects5[[#This Row],[DONOR 22/23]]</f>
        <v>0.13</v>
      </c>
      <c r="X355" s="2">
        <v>0.27</v>
      </c>
      <c r="Y355" s="2"/>
      <c r="Z355" s="2">
        <f>PAProjects5[[#This Row],[GOU 23/24]]+PAProjects5[[#This Row],[DONOR 23/24]]</f>
        <v>0.27</v>
      </c>
      <c r="AA355" s="2">
        <v>0.44</v>
      </c>
      <c r="AB355" s="2"/>
      <c r="AC355" s="49">
        <f>PAProjects5[[#This Row],[GOU 24/25]]+PAProjects5[[#This Row],[DONOR 24/25]]</f>
        <v>0.44</v>
      </c>
    </row>
    <row r="356" spans="1:29" x14ac:dyDescent="0.25">
      <c r="A356" s="2" t="s">
        <v>1862</v>
      </c>
      <c r="B356" s="156" t="s">
        <v>1905</v>
      </c>
      <c r="C356" s="156" t="e">
        <f ca="1">PAProjects5[[#This Row],[LINKING_CODE]]=_xlfn.CONCAT(PAProjects5[[#This Row],[Project Code]]," ",PAProjects5[[#This Row],[Project Name]])</f>
        <v>#NAME?</v>
      </c>
      <c r="D356" s="156" t="e">
        <f>VLOOKUP(PAProjects5[[#This Row],[LINKING_CODE]],MasterTable[[Project Code and Name ]],1,FALSE)</f>
        <v>#N/A</v>
      </c>
      <c r="E356" s="2" t="s">
        <v>604</v>
      </c>
      <c r="F356" s="2" t="s">
        <v>1218</v>
      </c>
      <c r="G356" s="2" t="s">
        <v>226</v>
      </c>
      <c r="H356" s="2" t="s">
        <v>1113</v>
      </c>
      <c r="I356" s="2" t="s">
        <v>1820</v>
      </c>
      <c r="J356" s="2" t="s">
        <v>1777</v>
      </c>
      <c r="K356" s="2" t="str">
        <f t="shared" si="51"/>
        <v>Retooling</v>
      </c>
      <c r="L356" s="23">
        <v>44378</v>
      </c>
      <c r="M356" s="23">
        <v>45838</v>
      </c>
      <c r="N356" s="20">
        <v>0.96</v>
      </c>
      <c r="O356" s="20">
        <v>0</v>
      </c>
      <c r="P356" s="20">
        <v>0.96</v>
      </c>
      <c r="Q356" s="20">
        <f>SUMIFS(MasterTable[Estimate of Arrears at end of the current FY 2020/21 (value)],MasterTable[[Project Code and Name ]],PAProjects5[[#This Row],[LINKING_CODE]],MasterTable[Funding Source],"GoU Funded")/10^9</f>
        <v>0</v>
      </c>
      <c r="R356" s="2">
        <v>0.12</v>
      </c>
      <c r="S356" s="2"/>
      <c r="T356" s="49">
        <f>PAProjects5[[#This Row],[GOU 21/22]]+PAProjects5[[#This Row],[DONOR 21/22]]</f>
        <v>0.12</v>
      </c>
      <c r="U356" s="2">
        <v>0.13</v>
      </c>
      <c r="V356" s="2"/>
      <c r="W356" s="49">
        <f>PAProjects5[[#This Row],[GOU 22/23]]+PAProjects5[[#This Row],[DONOR 22/23]]</f>
        <v>0.13</v>
      </c>
      <c r="X356" s="2">
        <v>0.27</v>
      </c>
      <c r="Y356" s="2"/>
      <c r="Z356" s="2">
        <f>PAProjects5[[#This Row],[GOU 23/24]]+PAProjects5[[#This Row],[DONOR 23/24]]</f>
        <v>0.27</v>
      </c>
      <c r="AA356" s="2">
        <v>0.44</v>
      </c>
      <c r="AB356" s="2"/>
      <c r="AC356" s="49">
        <f>PAProjects5[[#This Row],[GOU 24/25]]+PAProjects5[[#This Row],[DONOR 24/25]]</f>
        <v>0.44</v>
      </c>
    </row>
    <row r="357" spans="1:29" x14ac:dyDescent="0.25">
      <c r="A357" s="2" t="s">
        <v>1863</v>
      </c>
      <c r="B357" s="156" t="s">
        <v>1906</v>
      </c>
      <c r="C357" s="156" t="e">
        <f ca="1">PAProjects5[[#This Row],[LINKING_CODE]]=_xlfn.CONCAT(PAProjects5[[#This Row],[Project Code]]," ",PAProjects5[[#This Row],[Project Name]])</f>
        <v>#NAME?</v>
      </c>
      <c r="D357" s="156" t="e">
        <f>VLOOKUP(PAProjects5[[#This Row],[LINKING_CODE]],MasterTable[[Project Code and Name ]],1,FALSE)</f>
        <v>#N/A</v>
      </c>
      <c r="E357" s="2" t="s">
        <v>605</v>
      </c>
      <c r="F357" s="2" t="s">
        <v>1218</v>
      </c>
      <c r="G357" s="2" t="s">
        <v>218</v>
      </c>
      <c r="H357" s="2" t="s">
        <v>1113</v>
      </c>
      <c r="I357" s="2" t="s">
        <v>1821</v>
      </c>
      <c r="J357" s="2" t="s">
        <v>1778</v>
      </c>
      <c r="K357" s="2" t="str">
        <f t="shared" si="51"/>
        <v>Retooling</v>
      </c>
      <c r="L357" s="23">
        <v>44378</v>
      </c>
      <c r="M357" s="23">
        <v>45838</v>
      </c>
      <c r="N357" s="20">
        <v>0.96</v>
      </c>
      <c r="O357" s="20">
        <v>0</v>
      </c>
      <c r="P357" s="20">
        <v>0.96</v>
      </c>
      <c r="Q357" s="20">
        <f>SUMIFS(MasterTable[Estimate of Arrears at end of the current FY 2020/21 (value)],MasterTable[[Project Code and Name ]],PAProjects5[[#This Row],[LINKING_CODE]],MasterTable[Funding Source],"GoU Funded")/10^9</f>
        <v>0</v>
      </c>
      <c r="R357" s="2">
        <v>0.12</v>
      </c>
      <c r="S357" s="2"/>
      <c r="T357" s="49">
        <f>PAProjects5[[#This Row],[GOU 21/22]]+PAProjects5[[#This Row],[DONOR 21/22]]</f>
        <v>0.12</v>
      </c>
      <c r="U357" s="2">
        <v>0.13</v>
      </c>
      <c r="V357" s="2"/>
      <c r="W357" s="49">
        <f>PAProjects5[[#This Row],[GOU 22/23]]+PAProjects5[[#This Row],[DONOR 22/23]]</f>
        <v>0.13</v>
      </c>
      <c r="X357" s="2">
        <v>0.27</v>
      </c>
      <c r="Y357" s="2"/>
      <c r="Z357" s="2">
        <f>PAProjects5[[#This Row],[GOU 23/24]]+PAProjects5[[#This Row],[DONOR 23/24]]</f>
        <v>0.27</v>
      </c>
      <c r="AA357" s="2">
        <v>0.44</v>
      </c>
      <c r="AB357" s="2"/>
      <c r="AC357" s="49">
        <f>PAProjects5[[#This Row],[GOU 24/25]]+PAProjects5[[#This Row],[DONOR 24/25]]</f>
        <v>0.44</v>
      </c>
    </row>
    <row r="358" spans="1:29" x14ac:dyDescent="0.25">
      <c r="A358" s="2" t="s">
        <v>1864</v>
      </c>
      <c r="B358" s="156" t="s">
        <v>1907</v>
      </c>
      <c r="C358" s="156" t="e">
        <f ca="1">PAProjects5[[#This Row],[LINKING_CODE]]=_xlfn.CONCAT(PAProjects5[[#This Row],[Project Code]]," ",PAProjects5[[#This Row],[Project Name]])</f>
        <v>#NAME?</v>
      </c>
      <c r="D358" s="156" t="e">
        <f>VLOOKUP(PAProjects5[[#This Row],[LINKING_CODE]],MasterTable[[Project Code and Name ]],1,FALSE)</f>
        <v>#N/A</v>
      </c>
      <c r="E358" s="2" t="s">
        <v>607</v>
      </c>
      <c r="F358" s="2" t="s">
        <v>1218</v>
      </c>
      <c r="G358" s="2" t="s">
        <v>217</v>
      </c>
      <c r="H358" s="2" t="s">
        <v>1113</v>
      </c>
      <c r="I358" s="2" t="s">
        <v>1822</v>
      </c>
      <c r="J358" s="2" t="s">
        <v>1779</v>
      </c>
      <c r="K358" s="2" t="str">
        <f t="shared" si="51"/>
        <v>Retooling</v>
      </c>
      <c r="L358" s="23">
        <v>44378</v>
      </c>
      <c r="M358" s="23">
        <v>45838</v>
      </c>
      <c r="N358" s="20">
        <v>0.96</v>
      </c>
      <c r="O358" s="20">
        <v>0</v>
      </c>
      <c r="P358" s="20">
        <v>0.96</v>
      </c>
      <c r="Q358" s="20">
        <f>SUMIFS(MasterTable[Estimate of Arrears at end of the current FY 2020/21 (value)],MasterTable[[Project Code and Name ]],PAProjects5[[#This Row],[LINKING_CODE]],MasterTable[Funding Source],"GoU Funded")/10^9</f>
        <v>0</v>
      </c>
      <c r="R358" s="2">
        <v>0.12</v>
      </c>
      <c r="S358" s="2"/>
      <c r="T358" s="49">
        <f>PAProjects5[[#This Row],[GOU 21/22]]+PAProjects5[[#This Row],[DONOR 21/22]]</f>
        <v>0.12</v>
      </c>
      <c r="U358" s="2">
        <v>0.13</v>
      </c>
      <c r="V358" s="2"/>
      <c r="W358" s="49">
        <f>PAProjects5[[#This Row],[GOU 22/23]]+PAProjects5[[#This Row],[DONOR 22/23]]</f>
        <v>0.13</v>
      </c>
      <c r="X358" s="2">
        <v>0.27</v>
      </c>
      <c r="Y358" s="2"/>
      <c r="Z358" s="2">
        <f>PAProjects5[[#This Row],[GOU 23/24]]+PAProjects5[[#This Row],[DONOR 23/24]]</f>
        <v>0.27</v>
      </c>
      <c r="AA358" s="2">
        <v>0.44</v>
      </c>
      <c r="AB358" s="2"/>
      <c r="AC358" s="49">
        <f>PAProjects5[[#This Row],[GOU 24/25]]+PAProjects5[[#This Row],[DONOR 24/25]]</f>
        <v>0.44</v>
      </c>
    </row>
    <row r="359" spans="1:29" x14ac:dyDescent="0.25">
      <c r="A359" s="2" t="s">
        <v>1865</v>
      </c>
      <c r="B359" s="156" t="s">
        <v>1908</v>
      </c>
      <c r="C359" s="156" t="e">
        <f ca="1">PAProjects5[[#This Row],[LINKING_CODE]]=_xlfn.CONCAT(PAProjects5[[#This Row],[Project Code]]," ",PAProjects5[[#This Row],[Project Name]])</f>
        <v>#NAME?</v>
      </c>
      <c r="D359" s="156" t="e">
        <f>VLOOKUP(PAProjects5[[#This Row],[LINKING_CODE]],MasterTable[[Project Code and Name ]],1,FALSE)</f>
        <v>#N/A</v>
      </c>
      <c r="E359" s="2" t="s">
        <v>609</v>
      </c>
      <c r="F359" s="2" t="s">
        <v>1218</v>
      </c>
      <c r="G359" s="2" t="s">
        <v>227</v>
      </c>
      <c r="H359" s="2" t="s">
        <v>1113</v>
      </c>
      <c r="I359" s="2" t="s">
        <v>1823</v>
      </c>
      <c r="J359" s="2" t="s">
        <v>1780</v>
      </c>
      <c r="K359" s="2" t="str">
        <f t="shared" si="51"/>
        <v>Retooling</v>
      </c>
      <c r="L359" s="23">
        <v>44378</v>
      </c>
      <c r="M359" s="23">
        <v>45838</v>
      </c>
      <c r="N359" s="20">
        <v>0.96</v>
      </c>
      <c r="O359" s="20">
        <v>0</v>
      </c>
      <c r="P359" s="20">
        <v>0.96</v>
      </c>
      <c r="Q359" s="20">
        <f>SUMIFS(MasterTable[Estimate of Arrears at end of the current FY 2020/21 (value)],MasterTable[[Project Code and Name ]],PAProjects5[[#This Row],[LINKING_CODE]],MasterTable[Funding Source],"GoU Funded")/10^9</f>
        <v>0</v>
      </c>
      <c r="R359" s="2">
        <v>0.12</v>
      </c>
      <c r="S359" s="2"/>
      <c r="T359" s="49">
        <f>PAProjects5[[#This Row],[GOU 21/22]]+PAProjects5[[#This Row],[DONOR 21/22]]</f>
        <v>0.12</v>
      </c>
      <c r="U359" s="2">
        <v>0.13</v>
      </c>
      <c r="V359" s="2"/>
      <c r="W359" s="49">
        <f>PAProjects5[[#This Row],[GOU 22/23]]+PAProjects5[[#This Row],[DONOR 22/23]]</f>
        <v>0.13</v>
      </c>
      <c r="X359" s="2">
        <v>0.27</v>
      </c>
      <c r="Y359" s="2"/>
      <c r="Z359" s="2">
        <f>PAProjects5[[#This Row],[GOU 23/24]]+PAProjects5[[#This Row],[DONOR 23/24]]</f>
        <v>0.27</v>
      </c>
      <c r="AA359" s="2">
        <v>0.44</v>
      </c>
      <c r="AB359" s="2"/>
      <c r="AC359" s="49">
        <f>PAProjects5[[#This Row],[GOU 24/25]]+PAProjects5[[#This Row],[DONOR 24/25]]</f>
        <v>0.44</v>
      </c>
    </row>
    <row r="360" spans="1:29" x14ac:dyDescent="0.25">
      <c r="A360" s="2" t="s">
        <v>1866</v>
      </c>
      <c r="B360" s="156" t="s">
        <v>1909</v>
      </c>
      <c r="C360" s="156" t="e">
        <f ca="1">PAProjects5[[#This Row],[LINKING_CODE]]=_xlfn.CONCAT(PAProjects5[[#This Row],[Project Code]]," ",PAProjects5[[#This Row],[Project Name]])</f>
        <v>#NAME?</v>
      </c>
      <c r="D360" s="156" t="e">
        <f>VLOOKUP(PAProjects5[[#This Row],[LINKING_CODE]],MasterTable[[Project Code and Name ]],1,FALSE)</f>
        <v>#N/A</v>
      </c>
      <c r="E360" s="2" t="s">
        <v>611</v>
      </c>
      <c r="F360" s="2" t="s">
        <v>1218</v>
      </c>
      <c r="G360" s="2" t="s">
        <v>201</v>
      </c>
      <c r="H360" s="2" t="s">
        <v>1113</v>
      </c>
      <c r="I360" s="2" t="s">
        <v>1824</v>
      </c>
      <c r="J360" s="2" t="s">
        <v>1781</v>
      </c>
      <c r="K360" s="2" t="str">
        <f t="shared" si="51"/>
        <v>Retooling</v>
      </c>
      <c r="L360" s="23">
        <v>44378</v>
      </c>
      <c r="M360" s="23">
        <v>45838</v>
      </c>
      <c r="N360" s="20">
        <v>0.96</v>
      </c>
      <c r="O360" s="20">
        <v>0</v>
      </c>
      <c r="P360" s="20">
        <v>0.96</v>
      </c>
      <c r="Q360" s="20">
        <f>SUMIFS(MasterTable[Estimate of Arrears at end of the current FY 2020/21 (value)],MasterTable[[Project Code and Name ]],PAProjects5[[#This Row],[LINKING_CODE]],MasterTable[Funding Source],"GoU Funded")/10^9</f>
        <v>0</v>
      </c>
      <c r="R360" s="2">
        <v>0.47</v>
      </c>
      <c r="S360" s="2"/>
      <c r="T360" s="49">
        <f>PAProjects5[[#This Row],[GOU 21/22]]+PAProjects5[[#This Row],[DONOR 21/22]]</f>
        <v>0.47</v>
      </c>
      <c r="U360" s="2">
        <v>0.13</v>
      </c>
      <c r="V360" s="2"/>
      <c r="W360" s="49">
        <f>PAProjects5[[#This Row],[GOU 22/23]]+PAProjects5[[#This Row],[DONOR 22/23]]</f>
        <v>0.13</v>
      </c>
      <c r="X360" s="2">
        <v>0.12</v>
      </c>
      <c r="Y360" s="2"/>
      <c r="Z360" s="2">
        <f>PAProjects5[[#This Row],[GOU 23/24]]+PAProjects5[[#This Row],[DONOR 23/24]]</f>
        <v>0.12</v>
      </c>
      <c r="AA360" s="2">
        <v>0.44</v>
      </c>
      <c r="AB360" s="2"/>
      <c r="AC360" s="49">
        <f>PAProjects5[[#This Row],[GOU 24/25]]+PAProjects5[[#This Row],[DONOR 24/25]]</f>
        <v>0.44</v>
      </c>
    </row>
    <row r="361" spans="1:29" x14ac:dyDescent="0.25">
      <c r="A361" s="2" t="s">
        <v>1867</v>
      </c>
      <c r="B361" s="156" t="s">
        <v>1910</v>
      </c>
      <c r="C361" s="156" t="e">
        <f ca="1">PAProjects5[[#This Row],[LINKING_CODE]]=_xlfn.CONCAT(PAProjects5[[#This Row],[Project Code]]," ",PAProjects5[[#This Row],[Project Name]])</f>
        <v>#NAME?</v>
      </c>
      <c r="D361" s="156" t="e">
        <f>VLOOKUP(PAProjects5[[#This Row],[LINKING_CODE]],MasterTable[[Project Code and Name ]],1,FALSE)</f>
        <v>#N/A</v>
      </c>
      <c r="E361" s="2" t="s">
        <v>613</v>
      </c>
      <c r="F361" s="2" t="s">
        <v>1218</v>
      </c>
      <c r="G361" s="2" t="s">
        <v>219</v>
      </c>
      <c r="H361" s="2" t="s">
        <v>1113</v>
      </c>
      <c r="I361" s="2" t="s">
        <v>1825</v>
      </c>
      <c r="J361" s="2" t="s">
        <v>1782</v>
      </c>
      <c r="K361" s="2" t="str">
        <f t="shared" si="51"/>
        <v>Retooling</v>
      </c>
      <c r="L361" s="23">
        <v>44378</v>
      </c>
      <c r="M361" s="23">
        <v>45838</v>
      </c>
      <c r="N361" s="20">
        <v>1.1599999999999999</v>
      </c>
      <c r="O361" s="20">
        <v>0</v>
      </c>
      <c r="P361" s="20">
        <v>1.1599999999999999</v>
      </c>
      <c r="Q361" s="20">
        <f>SUMIFS(MasterTable[Estimate of Arrears at end of the current FY 2020/21 (value)],MasterTable[[Project Code and Name ]],PAProjects5[[#This Row],[LINKING_CODE]],MasterTable[Funding Source],"GoU Funded")/10^9</f>
        <v>0</v>
      </c>
      <c r="R361" s="2">
        <v>0.47</v>
      </c>
      <c r="S361" s="2"/>
      <c r="T361" s="49">
        <f>PAProjects5[[#This Row],[GOU 21/22]]+PAProjects5[[#This Row],[DONOR 21/22]]</f>
        <v>0.47</v>
      </c>
      <c r="U361" s="2">
        <v>0.1</v>
      </c>
      <c r="V361" s="2"/>
      <c r="W361" s="49">
        <f>PAProjects5[[#This Row],[GOU 22/23]]+PAProjects5[[#This Row],[DONOR 22/23]]</f>
        <v>0.1</v>
      </c>
      <c r="X361" s="2">
        <v>0.26</v>
      </c>
      <c r="Y361" s="2"/>
      <c r="Z361" s="2">
        <f>PAProjects5[[#This Row],[GOU 23/24]]+PAProjects5[[#This Row],[DONOR 23/24]]</f>
        <v>0.26</v>
      </c>
      <c r="AA361" s="2">
        <v>0.4</v>
      </c>
      <c r="AB361" s="2"/>
      <c r="AC361" s="49">
        <f>PAProjects5[[#This Row],[GOU 24/25]]+PAProjects5[[#This Row],[DONOR 24/25]]</f>
        <v>0.4</v>
      </c>
    </row>
    <row r="362" spans="1:29" x14ac:dyDescent="0.25">
      <c r="A362" s="2" t="s">
        <v>1868</v>
      </c>
      <c r="B362" s="156" t="s">
        <v>1911</v>
      </c>
      <c r="C362" s="156" t="e">
        <f ca="1">PAProjects5[[#This Row],[LINKING_CODE]]=_xlfn.CONCAT(PAProjects5[[#This Row],[Project Code]]," ",PAProjects5[[#This Row],[Project Name]])</f>
        <v>#NAME?</v>
      </c>
      <c r="D362" s="156" t="e">
        <f>VLOOKUP(PAProjects5[[#This Row],[LINKING_CODE]],MasterTable[[Project Code and Name ]],1,FALSE)</f>
        <v>#N/A</v>
      </c>
      <c r="E362" s="2" t="s">
        <v>614</v>
      </c>
      <c r="F362" s="2" t="s">
        <v>1218</v>
      </c>
      <c r="G362" s="2" t="s">
        <v>224</v>
      </c>
      <c r="H362" s="2" t="s">
        <v>1113</v>
      </c>
      <c r="I362" s="2" t="s">
        <v>1826</v>
      </c>
      <c r="J362" s="2" t="s">
        <v>1783</v>
      </c>
      <c r="K362" s="2" t="str">
        <f t="shared" si="51"/>
        <v>Retooling</v>
      </c>
      <c r="L362" s="23">
        <v>44378</v>
      </c>
      <c r="M362" s="23">
        <v>45838</v>
      </c>
      <c r="N362" s="20">
        <v>1.23</v>
      </c>
      <c r="O362" s="20">
        <v>0</v>
      </c>
      <c r="P362" s="20">
        <v>1.23</v>
      </c>
      <c r="Q362" s="20">
        <f>SUMIFS(MasterTable[Estimate of Arrears at end of the current FY 2020/21 (value)],MasterTable[[Project Code and Name ]],PAProjects5[[#This Row],[LINKING_CODE]],MasterTable[Funding Source],"GoU Funded")/10^9</f>
        <v>0</v>
      </c>
      <c r="R362" s="2">
        <v>0.12</v>
      </c>
      <c r="S362" s="2"/>
      <c r="T362" s="49">
        <f>PAProjects5[[#This Row],[GOU 21/22]]+PAProjects5[[#This Row],[DONOR 21/22]]</f>
        <v>0.12</v>
      </c>
      <c r="U362" s="2">
        <v>0.13</v>
      </c>
      <c r="V362" s="2"/>
      <c r="W362" s="49">
        <f>PAProjects5[[#This Row],[GOU 22/23]]+PAProjects5[[#This Row],[DONOR 22/23]]</f>
        <v>0.13</v>
      </c>
      <c r="X362" s="2">
        <v>0.27</v>
      </c>
      <c r="Y362" s="2"/>
      <c r="Z362" s="2">
        <f>PAProjects5[[#This Row],[GOU 23/24]]+PAProjects5[[#This Row],[DONOR 23/24]]</f>
        <v>0.27</v>
      </c>
      <c r="AA362" s="2">
        <v>0.44</v>
      </c>
      <c r="AB362" s="2"/>
      <c r="AC362" s="49">
        <f>PAProjects5[[#This Row],[GOU 24/25]]+PAProjects5[[#This Row],[DONOR 24/25]]</f>
        <v>0.44</v>
      </c>
    </row>
    <row r="363" spans="1:29" x14ac:dyDescent="0.25">
      <c r="A363" s="2" t="s">
        <v>1869</v>
      </c>
      <c r="B363" s="156" t="s">
        <v>1912</v>
      </c>
      <c r="C363" s="156" t="e">
        <f ca="1">PAProjects5[[#This Row],[LINKING_CODE]]=_xlfn.CONCAT(PAProjects5[[#This Row],[Project Code]]," ",PAProjects5[[#This Row],[Project Name]])</f>
        <v>#NAME?</v>
      </c>
      <c r="D363" s="156" t="e">
        <f>VLOOKUP(PAProjects5[[#This Row],[LINKING_CODE]],MasterTable[[Project Code and Name ]],1,FALSE)</f>
        <v>#N/A</v>
      </c>
      <c r="E363" s="2" t="s">
        <v>617</v>
      </c>
      <c r="F363" s="2" t="s">
        <v>1218</v>
      </c>
      <c r="G363" s="2" t="s">
        <v>203</v>
      </c>
      <c r="H363" s="2" t="s">
        <v>1113</v>
      </c>
      <c r="I363" s="2" t="s">
        <v>1827</v>
      </c>
      <c r="J363" s="2" t="s">
        <v>1784</v>
      </c>
      <c r="K363" s="2" t="str">
        <f t="shared" si="51"/>
        <v>Retooling</v>
      </c>
      <c r="L363" s="23">
        <v>44378</v>
      </c>
      <c r="M363" s="23">
        <v>45838</v>
      </c>
      <c r="N363" s="20">
        <v>0.96</v>
      </c>
      <c r="O363" s="20">
        <v>0</v>
      </c>
      <c r="P363" s="20">
        <v>0.96</v>
      </c>
      <c r="Q363" s="20">
        <f>SUMIFS(MasterTable[Estimate of Arrears at end of the current FY 2020/21 (value)],MasterTable[[Project Code and Name ]],PAProjects5[[#This Row],[LINKING_CODE]],MasterTable[Funding Source],"GoU Funded")/10^9</f>
        <v>0</v>
      </c>
      <c r="R363" s="2">
        <v>0.12</v>
      </c>
      <c r="S363" s="2"/>
      <c r="T363" s="49">
        <f>PAProjects5[[#This Row],[GOU 21/22]]+PAProjects5[[#This Row],[DONOR 21/22]]</f>
        <v>0.12</v>
      </c>
      <c r="U363" s="2">
        <v>0.13</v>
      </c>
      <c r="V363" s="2"/>
      <c r="W363" s="49">
        <f>PAProjects5[[#This Row],[GOU 22/23]]+PAProjects5[[#This Row],[DONOR 22/23]]</f>
        <v>0.13</v>
      </c>
      <c r="X363" s="2">
        <v>0.27</v>
      </c>
      <c r="Y363" s="2"/>
      <c r="Z363" s="2">
        <f>PAProjects5[[#This Row],[GOU 23/24]]+PAProjects5[[#This Row],[DONOR 23/24]]</f>
        <v>0.27</v>
      </c>
      <c r="AA363" s="2">
        <v>0.44</v>
      </c>
      <c r="AB363" s="2"/>
      <c r="AC363" s="49">
        <f>PAProjects5[[#This Row],[GOU 24/25]]+PAProjects5[[#This Row],[DONOR 24/25]]</f>
        <v>0.44</v>
      </c>
    </row>
    <row r="364" spans="1:29" x14ac:dyDescent="0.25">
      <c r="A364" s="2" t="s">
        <v>1870</v>
      </c>
      <c r="B364" s="156" t="s">
        <v>1913</v>
      </c>
      <c r="C364" s="156" t="e">
        <f ca="1">PAProjects5[[#This Row],[LINKING_CODE]]=_xlfn.CONCAT(PAProjects5[[#This Row],[Project Code]]," ",PAProjects5[[#This Row],[Project Name]])</f>
        <v>#NAME?</v>
      </c>
      <c r="D364" s="156" t="e">
        <f>VLOOKUP(PAProjects5[[#This Row],[LINKING_CODE]],MasterTable[[Project Code and Name ]],1,FALSE)</f>
        <v>#N/A</v>
      </c>
      <c r="E364" s="2" t="s">
        <v>620</v>
      </c>
      <c r="F364" s="2" t="s">
        <v>1218</v>
      </c>
      <c r="G364" s="2" t="s">
        <v>230</v>
      </c>
      <c r="H364" s="2" t="s">
        <v>1113</v>
      </c>
      <c r="I364" s="2" t="s">
        <v>1828</v>
      </c>
      <c r="J364" s="2" t="s">
        <v>1785</v>
      </c>
      <c r="K364" s="2" t="str">
        <f t="shared" si="51"/>
        <v>Retooling</v>
      </c>
      <c r="L364" s="23">
        <v>44378</v>
      </c>
      <c r="M364" s="23">
        <v>45838</v>
      </c>
      <c r="N364" s="20">
        <v>0.96</v>
      </c>
      <c r="O364" s="20">
        <v>0</v>
      </c>
      <c r="P364" s="20">
        <v>0.96</v>
      </c>
      <c r="Q364" s="20">
        <f>SUMIFS(MasterTable[Estimate of Arrears at end of the current FY 2020/21 (value)],MasterTable[[Project Code and Name ]],PAProjects5[[#This Row],[LINKING_CODE]],MasterTable[Funding Source],"GoU Funded")/10^9</f>
        <v>0</v>
      </c>
      <c r="R364" s="2">
        <v>0.27</v>
      </c>
      <c r="S364" s="2"/>
      <c r="T364" s="49">
        <f>PAProjects5[[#This Row],[GOU 21/22]]+PAProjects5[[#This Row],[DONOR 21/22]]</f>
        <v>0.27</v>
      </c>
      <c r="U364" s="2">
        <v>0.13</v>
      </c>
      <c r="V364" s="2"/>
      <c r="W364" s="49">
        <f>PAProjects5[[#This Row],[GOU 22/23]]+PAProjects5[[#This Row],[DONOR 22/23]]</f>
        <v>0.13</v>
      </c>
      <c r="X364" s="2">
        <v>0.27</v>
      </c>
      <c r="Y364" s="2"/>
      <c r="Z364" s="2">
        <f>PAProjects5[[#This Row],[GOU 23/24]]+PAProjects5[[#This Row],[DONOR 23/24]]</f>
        <v>0.27</v>
      </c>
      <c r="AA364" s="2">
        <v>0.44</v>
      </c>
      <c r="AB364" s="2"/>
      <c r="AC364" s="49">
        <f>PAProjects5[[#This Row],[GOU 24/25]]+PAProjects5[[#This Row],[DONOR 24/25]]</f>
        <v>0.44</v>
      </c>
    </row>
    <row r="365" spans="1:29" x14ac:dyDescent="0.25">
      <c r="A365" s="2" t="s">
        <v>1871</v>
      </c>
      <c r="B365" s="156" t="s">
        <v>1914</v>
      </c>
      <c r="C365" s="156" t="e">
        <f ca="1">PAProjects5[[#This Row],[LINKING_CODE]]=_xlfn.CONCAT(PAProjects5[[#This Row],[Project Code]]," ",PAProjects5[[#This Row],[Project Name]])</f>
        <v>#NAME?</v>
      </c>
      <c r="D365" s="156" t="e">
        <f>VLOOKUP(PAProjects5[[#This Row],[LINKING_CODE]],MasterTable[[Project Code and Name ]],1,FALSE)</f>
        <v>#N/A</v>
      </c>
      <c r="E365" s="2" t="s">
        <v>623</v>
      </c>
      <c r="F365" s="2" t="s">
        <v>1218</v>
      </c>
      <c r="G365" s="2" t="s">
        <v>210</v>
      </c>
      <c r="H365" s="2" t="s">
        <v>1113</v>
      </c>
      <c r="I365" s="2" t="s">
        <v>1829</v>
      </c>
      <c r="J365" s="2" t="s">
        <v>1786</v>
      </c>
      <c r="K365" s="2" t="str">
        <f t="shared" si="51"/>
        <v>Retooling</v>
      </c>
      <c r="L365" s="23">
        <v>44378</v>
      </c>
      <c r="M365" s="23">
        <v>45838</v>
      </c>
      <c r="N365" s="20">
        <v>1.1100000000000001</v>
      </c>
      <c r="O365" s="20">
        <v>0</v>
      </c>
      <c r="P365" s="20">
        <v>1.1100000000000001</v>
      </c>
      <c r="Q365" s="20">
        <f>SUMIFS(MasterTable[Estimate of Arrears at end of the current FY 2020/21 (value)],MasterTable[[Project Code and Name ]],PAProjects5[[#This Row],[LINKING_CODE]],MasterTable[Funding Source],"GoU Funded")/10^9</f>
        <v>0</v>
      </c>
      <c r="R365" s="2">
        <v>1.7010000000000001</v>
      </c>
      <c r="S365" s="2"/>
      <c r="T365" s="49">
        <f>PAProjects5[[#This Row],[GOU 21/22]]+PAProjects5[[#This Row],[DONOR 21/22]]</f>
        <v>1.7010000000000001</v>
      </c>
      <c r="U365" s="2">
        <v>1.0985</v>
      </c>
      <c r="V365" s="2"/>
      <c r="W365" s="49">
        <f>PAProjects5[[#This Row],[GOU 22/23]]+PAProjects5[[#This Row],[DONOR 22/23]]</f>
        <v>1.0985</v>
      </c>
      <c r="X365" s="2">
        <v>0.67949999999999999</v>
      </c>
      <c r="Y365" s="2"/>
      <c r="Z365" s="2">
        <f>PAProjects5[[#This Row],[GOU 23/24]]+PAProjects5[[#This Row],[DONOR 23/24]]</f>
        <v>0.67949999999999999</v>
      </c>
      <c r="AA365" s="2">
        <v>0</v>
      </c>
      <c r="AB365" s="2"/>
      <c r="AC365" s="49">
        <f>PAProjects5[[#This Row],[GOU 24/25]]+PAProjects5[[#This Row],[DONOR 24/25]]</f>
        <v>0</v>
      </c>
    </row>
    <row r="366" spans="1:29" x14ac:dyDescent="0.25">
      <c r="A366" s="2" t="s">
        <v>1872</v>
      </c>
      <c r="B366" s="156" t="s">
        <v>1915</v>
      </c>
      <c r="C366" s="156" t="e">
        <f ca="1">PAProjects5[[#This Row],[LINKING_CODE]]=_xlfn.CONCAT(PAProjects5[[#This Row],[Project Code]]," ",PAProjects5[[#This Row],[Project Name]])</f>
        <v>#NAME?</v>
      </c>
      <c r="D366" s="156" t="e">
        <f>VLOOKUP(PAProjects5[[#This Row],[LINKING_CODE]],MasterTable[[Project Code and Name ]],1,FALSE)</f>
        <v>#N/A</v>
      </c>
      <c r="E366" s="2" t="s">
        <v>519</v>
      </c>
      <c r="F366" s="2" t="s">
        <v>960</v>
      </c>
      <c r="G366" s="2" t="s">
        <v>321</v>
      </c>
      <c r="H366" s="2" t="s">
        <v>1113</v>
      </c>
      <c r="I366" s="2" t="s">
        <v>1830</v>
      </c>
      <c r="J366" s="2" t="s">
        <v>1787</v>
      </c>
      <c r="K366" s="2" t="str">
        <f t="shared" si="51"/>
        <v>Retooling</v>
      </c>
      <c r="L366" s="23">
        <v>44378</v>
      </c>
      <c r="M366" s="23">
        <v>45838</v>
      </c>
      <c r="N366" s="20">
        <v>3.4790000000000001</v>
      </c>
      <c r="O366" s="20">
        <v>0</v>
      </c>
      <c r="P366" s="20">
        <v>3.4790000000000001</v>
      </c>
      <c r="Q366" s="20">
        <f>SUMIFS(MasterTable[Estimate of Arrears at end of the current FY 2020/21 (value)],MasterTable[[Project Code and Name ]],PAProjects5[[#This Row],[LINKING_CODE]],MasterTable[Funding Source],"GoU Funded")/10^9</f>
        <v>0</v>
      </c>
      <c r="R366" s="2">
        <v>2.3306</v>
      </c>
      <c r="S366" s="2"/>
      <c r="T366" s="49">
        <f>PAProjects5[[#This Row],[GOU 21/22]]+PAProjects5[[#This Row],[DONOR 21/22]]</f>
        <v>2.3306</v>
      </c>
      <c r="U366" s="2">
        <v>3.4576500000000001</v>
      </c>
      <c r="V366" s="2"/>
      <c r="W366" s="49">
        <f>PAProjects5[[#This Row],[GOU 22/23]]+PAProjects5[[#This Row],[DONOR 22/23]]</f>
        <v>3.4576500000000001</v>
      </c>
      <c r="X366" s="2">
        <v>4.4446000000000003</v>
      </c>
      <c r="Y366" s="2"/>
      <c r="Z366" s="2">
        <f>PAProjects5[[#This Row],[GOU 23/24]]+PAProjects5[[#This Row],[DONOR 23/24]]</f>
        <v>4.4446000000000003</v>
      </c>
      <c r="AA366" s="2">
        <v>4.8721500000000004</v>
      </c>
      <c r="AB366" s="2"/>
      <c r="AC366" s="49">
        <f>PAProjects5[[#This Row],[GOU 24/25]]+PAProjects5[[#This Row],[DONOR 24/25]]</f>
        <v>4.8721500000000004</v>
      </c>
    </row>
    <row r="367" spans="1:29" x14ac:dyDescent="0.25">
      <c r="A367" s="2" t="s">
        <v>1873</v>
      </c>
      <c r="B367" s="156" t="s">
        <v>1916</v>
      </c>
      <c r="C367" s="156" t="e">
        <f ca="1">PAProjects5[[#This Row],[LINKING_CODE]]=_xlfn.CONCAT(PAProjects5[[#This Row],[Project Code]]," ",PAProjects5[[#This Row],[Project Name]])</f>
        <v>#NAME?</v>
      </c>
      <c r="D367" s="156" t="e">
        <f>VLOOKUP(PAProjects5[[#This Row],[LINKING_CODE]],MasterTable[[Project Code and Name ]],1,FALSE)</f>
        <v>#N/A</v>
      </c>
      <c r="E367" s="2" t="s">
        <v>520</v>
      </c>
      <c r="F367" s="2" t="s">
        <v>960</v>
      </c>
      <c r="G367" s="2" t="s">
        <v>322</v>
      </c>
      <c r="H367" s="2" t="s">
        <v>1113</v>
      </c>
      <c r="I367" s="2" t="s">
        <v>1831</v>
      </c>
      <c r="J367" s="2" t="s">
        <v>1788</v>
      </c>
      <c r="K367" s="2" t="str">
        <f t="shared" si="51"/>
        <v>Retooling</v>
      </c>
      <c r="L367" s="23">
        <v>44378</v>
      </c>
      <c r="M367" s="23">
        <v>45838</v>
      </c>
      <c r="N367" s="20">
        <v>15.105</v>
      </c>
      <c r="O367" s="20">
        <v>0</v>
      </c>
      <c r="P367" s="20">
        <v>15.105</v>
      </c>
      <c r="Q367" s="20">
        <f>SUMIFS(MasterTable[Estimate of Arrears at end of the current FY 2020/21 (value)],MasterTable[[Project Code and Name ]],PAProjects5[[#This Row],[LINKING_CODE]],MasterTable[Funding Source],"GoU Funded")/10^9</f>
        <v>0</v>
      </c>
      <c r="R367" s="2">
        <v>3.2666689999999999E-9</v>
      </c>
      <c r="S367" s="2"/>
      <c r="T367" s="49">
        <f>PAProjects5[[#This Row],[GOU 21/22]]+PAProjects5[[#This Row],[DONOR 21/22]]</f>
        <v>3.2666689999999999E-9</v>
      </c>
      <c r="U367" s="2">
        <v>2.88991E-9</v>
      </c>
      <c r="V367" s="2"/>
      <c r="W367" s="49">
        <f>PAProjects5[[#This Row],[GOU 22/23]]+PAProjects5[[#This Row],[DONOR 22/23]]</f>
        <v>2.88991E-9</v>
      </c>
      <c r="X367" s="2">
        <v>2.88991E-9</v>
      </c>
      <c r="Y367" s="2"/>
      <c r="Z367" s="2">
        <f>PAProjects5[[#This Row],[GOU 23/24]]+PAProjects5[[#This Row],[DONOR 23/24]]</f>
        <v>2.88991E-9</v>
      </c>
      <c r="AA367" s="2">
        <v>2.88991E-9</v>
      </c>
      <c r="AB367" s="2"/>
      <c r="AC367" s="49">
        <f>PAProjects5[[#This Row],[GOU 24/25]]+PAProjects5[[#This Row],[DONOR 24/25]]</f>
        <v>2.88991E-9</v>
      </c>
    </row>
    <row r="368" spans="1:29" x14ac:dyDescent="0.25">
      <c r="A368" s="2" t="s">
        <v>1874</v>
      </c>
      <c r="B368" s="156" t="s">
        <v>1917</v>
      </c>
      <c r="C368" s="156" t="e">
        <f ca="1">PAProjects5[[#This Row],[LINKING_CODE]]=_xlfn.CONCAT(PAProjects5[[#This Row],[Project Code]]," ",PAProjects5[[#This Row],[Project Name]])</f>
        <v>#NAME?</v>
      </c>
      <c r="D368" s="156" t="e">
        <f>VLOOKUP(PAProjects5[[#This Row],[LINKING_CODE]],MasterTable[[Project Code and Name ]],1,FALSE)</f>
        <v>#N/A</v>
      </c>
      <c r="E368" s="2" t="s">
        <v>522</v>
      </c>
      <c r="F368" s="2" t="s">
        <v>960</v>
      </c>
      <c r="G368" s="2" t="s">
        <v>319</v>
      </c>
      <c r="H368" s="2" t="s">
        <v>1113</v>
      </c>
      <c r="I368" s="2" t="s">
        <v>1832</v>
      </c>
      <c r="J368" s="2" t="s">
        <v>1789</v>
      </c>
      <c r="K368" s="2" t="str">
        <f t="shared" si="51"/>
        <v>Retooling</v>
      </c>
      <c r="L368" s="23">
        <v>44378</v>
      </c>
      <c r="M368" s="23">
        <v>45838</v>
      </c>
      <c r="N368" s="20">
        <v>6.1565700000000003</v>
      </c>
      <c r="O368" s="20">
        <v>0</v>
      </c>
      <c r="P368" s="20">
        <v>6.1565700000000003</v>
      </c>
      <c r="Q368" s="20">
        <f>SUMIFS(MasterTable[Estimate of Arrears at end of the current FY 2020/21 (value)],MasterTable[[Project Code and Name ]],PAProjects5[[#This Row],[LINKING_CODE]],MasterTable[Funding Source],"GoU Funded")/10^9</f>
        <v>0</v>
      </c>
      <c r="R368" s="2">
        <v>3.1158730000000001</v>
      </c>
      <c r="S368" s="2"/>
      <c r="T368" s="49">
        <f>PAProjects5[[#This Row],[GOU 21/22]]+PAProjects5[[#This Row],[DONOR 21/22]]</f>
        <v>3.1158730000000001</v>
      </c>
      <c r="U368" s="2">
        <v>3.8636382</v>
      </c>
      <c r="V368" s="2"/>
      <c r="W368" s="49">
        <f>PAProjects5[[#This Row],[GOU 22/23]]+PAProjects5[[#This Row],[DONOR 22/23]]</f>
        <v>3.8636382</v>
      </c>
      <c r="X368" s="2">
        <v>3.9274292069999999</v>
      </c>
      <c r="Y368" s="2"/>
      <c r="Z368" s="2">
        <f>PAProjects5[[#This Row],[GOU 23/24]]+PAProjects5[[#This Row],[DONOR 23/24]]</f>
        <v>3.9274292069999999</v>
      </c>
      <c r="AA368" s="2">
        <v>2.9312065010000001</v>
      </c>
      <c r="AB368" s="2"/>
      <c r="AC368" s="49">
        <f>PAProjects5[[#This Row],[GOU 24/25]]+PAProjects5[[#This Row],[DONOR 24/25]]</f>
        <v>2.9312065010000001</v>
      </c>
    </row>
    <row r="369" spans="1:29" x14ac:dyDescent="0.25">
      <c r="A369" s="2" t="s">
        <v>1875</v>
      </c>
      <c r="B369" s="156" t="s">
        <v>1918</v>
      </c>
      <c r="C369" s="156" t="e">
        <f ca="1">PAProjects5[[#This Row],[LINKING_CODE]]=_xlfn.CONCAT(PAProjects5[[#This Row],[Project Code]]," ",PAProjects5[[#This Row],[Project Name]])</f>
        <v>#NAME?</v>
      </c>
      <c r="D369" s="156" t="e">
        <f>VLOOKUP(PAProjects5[[#This Row],[LINKING_CODE]],MasterTable[[Project Code and Name ]],1,FALSE)</f>
        <v>#N/A</v>
      </c>
      <c r="E369" s="2" t="s">
        <v>511</v>
      </c>
      <c r="F369" s="2" t="s">
        <v>890</v>
      </c>
      <c r="G369" s="2" t="s">
        <v>221</v>
      </c>
      <c r="H369" s="2" t="s">
        <v>1113</v>
      </c>
      <c r="I369" s="2" t="s">
        <v>1833</v>
      </c>
      <c r="J369" s="2" t="s">
        <v>1790</v>
      </c>
      <c r="K369" s="2" t="str">
        <f t="shared" si="51"/>
        <v>Retooling</v>
      </c>
      <c r="L369" s="23">
        <v>44378</v>
      </c>
      <c r="M369" s="23">
        <v>45838</v>
      </c>
      <c r="N369" s="20">
        <v>16.044274918999999</v>
      </c>
      <c r="O369" s="20">
        <v>0</v>
      </c>
      <c r="P369" s="20">
        <v>16.044274918999999</v>
      </c>
      <c r="Q369" s="20">
        <f>SUMIFS(MasterTable[Estimate of Arrears at end of the current FY 2020/21 (value)],MasterTable[[Project Code and Name ]],PAProjects5[[#This Row],[LINKING_CODE]],MasterTable[Funding Source],"GoU Funded")/10^9</f>
        <v>0</v>
      </c>
      <c r="R369" s="2">
        <v>1.44913E-8</v>
      </c>
      <c r="S369" s="2"/>
      <c r="T369" s="49">
        <f>PAProjects5[[#This Row],[GOU 21/22]]+PAProjects5[[#This Row],[DONOR 21/22]]</f>
        <v>1.44913E-8</v>
      </c>
      <c r="U369" s="2">
        <v>6.3465999999999996E-9</v>
      </c>
      <c r="V369" s="2"/>
      <c r="W369" s="49">
        <f>PAProjects5[[#This Row],[GOU 22/23]]+PAProjects5[[#This Row],[DONOR 22/23]]</f>
        <v>6.3465999999999996E-9</v>
      </c>
      <c r="X369" s="2">
        <v>4.6786E-9</v>
      </c>
      <c r="Y369" s="2"/>
      <c r="Z369" s="2">
        <f>PAProjects5[[#This Row],[GOU 23/24]]+PAProjects5[[#This Row],[DONOR 23/24]]</f>
        <v>4.6786E-9</v>
      </c>
      <c r="AA369" s="2">
        <v>3.1110000000000001E-9</v>
      </c>
      <c r="AB369" s="2"/>
      <c r="AC369" s="49">
        <f>PAProjects5[[#This Row],[GOU 24/25]]+PAProjects5[[#This Row],[DONOR 24/25]]</f>
        <v>3.1110000000000001E-9</v>
      </c>
    </row>
    <row r="370" spans="1:29" x14ac:dyDescent="0.25">
      <c r="A370" s="2" t="s">
        <v>1876</v>
      </c>
      <c r="B370" s="156" t="s">
        <v>1919</v>
      </c>
      <c r="C370" s="156" t="e">
        <f ca="1">PAProjects5[[#This Row],[LINKING_CODE]]=_xlfn.CONCAT(PAProjects5[[#This Row],[Project Code]]," ",PAProjects5[[#This Row],[Project Name]])</f>
        <v>#NAME?</v>
      </c>
      <c r="D370" s="156" t="e">
        <f>VLOOKUP(PAProjects5[[#This Row],[LINKING_CODE]],MasterTable[[Project Code and Name ]],1,FALSE)</f>
        <v>#N/A</v>
      </c>
      <c r="E370" s="2" t="s">
        <v>511</v>
      </c>
      <c r="F370" s="2" t="s">
        <v>890</v>
      </c>
      <c r="G370" s="2" t="s">
        <v>125</v>
      </c>
      <c r="H370" s="2" t="s">
        <v>1113</v>
      </c>
      <c r="I370" s="2" t="s">
        <v>1834</v>
      </c>
      <c r="J370" s="2" t="s">
        <v>1791</v>
      </c>
      <c r="K370" s="2" t="str">
        <f t="shared" si="51"/>
        <v>Retooling</v>
      </c>
      <c r="L370" s="23">
        <v>44378</v>
      </c>
      <c r="M370" s="23">
        <v>45838</v>
      </c>
      <c r="N370" s="20">
        <v>30.294499999999999</v>
      </c>
      <c r="O370" s="20">
        <v>0</v>
      </c>
      <c r="P370" s="20">
        <v>30.294499999999999</v>
      </c>
      <c r="Q370" s="20">
        <f>SUMIFS(MasterTable[Estimate of Arrears at end of the current FY 2020/21 (value)],MasterTable[[Project Code and Name ]],PAProjects5[[#This Row],[LINKING_CODE]],MasterTable[Funding Source],"GoU Funded")/10^9</f>
        <v>0</v>
      </c>
      <c r="R370" s="2">
        <v>3.3542252640000001</v>
      </c>
      <c r="S370" s="2"/>
      <c r="T370" s="49">
        <f>PAProjects5[[#This Row],[GOU 21/22]]+PAProjects5[[#This Row],[DONOR 21/22]]</f>
        <v>3.3542252640000001</v>
      </c>
      <c r="U370" s="2">
        <v>2.426992196</v>
      </c>
      <c r="V370" s="2"/>
      <c r="W370" s="49">
        <f>PAProjects5[[#This Row],[GOU 22/23]]+PAProjects5[[#This Row],[DONOR 22/23]]</f>
        <v>2.426992196</v>
      </c>
      <c r="X370" s="2">
        <v>2.2394252639999999</v>
      </c>
      <c r="Y370" s="2"/>
      <c r="Z370" s="2">
        <f>PAProjects5[[#This Row],[GOU 23/24]]+PAProjects5[[#This Row],[DONOR 23/24]]</f>
        <v>2.2394252639999999</v>
      </c>
      <c r="AA370" s="2">
        <v>0</v>
      </c>
      <c r="AB370" s="2"/>
      <c r="AC370" s="49">
        <f>PAProjects5[[#This Row],[GOU 24/25]]+PAProjects5[[#This Row],[DONOR 24/25]]</f>
        <v>0</v>
      </c>
    </row>
    <row r="371" spans="1:29" x14ac:dyDescent="0.25">
      <c r="A371" s="2" t="s">
        <v>1877</v>
      </c>
      <c r="B371" s="156" t="s">
        <v>1920</v>
      </c>
      <c r="C371" s="156" t="e">
        <f ca="1">PAProjects5[[#This Row],[LINKING_CODE]]=_xlfn.CONCAT(PAProjects5[[#This Row],[Project Code]]," ",PAProjects5[[#This Row],[Project Name]])</f>
        <v>#NAME?</v>
      </c>
      <c r="D371" s="156" t="e">
        <f>VLOOKUP(PAProjects5[[#This Row],[LINKING_CODE]],MasterTable[[Project Code and Name ]],1,FALSE)</f>
        <v>#N/A</v>
      </c>
      <c r="E371" s="2" t="s">
        <v>513</v>
      </c>
      <c r="F371" s="2" t="s">
        <v>1089</v>
      </c>
      <c r="G371" s="2" t="s">
        <v>123</v>
      </c>
      <c r="H371" s="2" t="s">
        <v>1113</v>
      </c>
      <c r="I371" s="2" t="s">
        <v>1835</v>
      </c>
      <c r="J371" s="2" t="s">
        <v>1792</v>
      </c>
      <c r="K371" s="2" t="str">
        <f t="shared" si="51"/>
        <v>Retooling</v>
      </c>
      <c r="L371" s="23">
        <v>44378</v>
      </c>
      <c r="M371" s="23">
        <v>45838</v>
      </c>
      <c r="N371" s="20">
        <v>10.96069825</v>
      </c>
      <c r="O371" s="20">
        <v>0</v>
      </c>
      <c r="P371" s="20">
        <v>10.96069825</v>
      </c>
      <c r="Q371" s="20">
        <f>SUMIFS(MasterTable[Estimate of Arrears at end of the current FY 2020/21 (value)],MasterTable[[Project Code and Name ]],PAProjects5[[#This Row],[LINKING_CODE]],MasterTable[Funding Source],"GoU Funded")/10^9</f>
        <v>0</v>
      </c>
      <c r="R371" s="2">
        <v>2.2158000000000002</v>
      </c>
      <c r="S371" s="2"/>
      <c r="T371" s="49">
        <f>PAProjects5[[#This Row],[GOU 21/22]]+PAProjects5[[#This Row],[DONOR 21/22]]</f>
        <v>2.2158000000000002</v>
      </c>
      <c r="U371" s="2">
        <v>2.6560000000000001</v>
      </c>
      <c r="V371" s="2"/>
      <c r="W371" s="49">
        <f>PAProjects5[[#This Row],[GOU 22/23]]+PAProjects5[[#This Row],[DONOR 22/23]]</f>
        <v>2.6560000000000001</v>
      </c>
      <c r="X371" s="2">
        <v>2.8460000000000001</v>
      </c>
      <c r="Y371" s="2"/>
      <c r="Z371" s="2">
        <f>PAProjects5[[#This Row],[GOU 23/24]]+PAProjects5[[#This Row],[DONOR 23/24]]</f>
        <v>2.8460000000000001</v>
      </c>
      <c r="AA371" s="2">
        <v>2.8879999999999999</v>
      </c>
      <c r="AB371" s="2"/>
      <c r="AC371" s="49">
        <f>PAProjects5[[#This Row],[GOU 24/25]]+PAProjects5[[#This Row],[DONOR 24/25]]</f>
        <v>2.8879999999999999</v>
      </c>
    </row>
    <row r="372" spans="1:29" x14ac:dyDescent="0.25">
      <c r="A372" s="2" t="s">
        <v>1878</v>
      </c>
      <c r="B372" s="156" t="s">
        <v>1921</v>
      </c>
      <c r="C372" s="156" t="e">
        <f ca="1">PAProjects5[[#This Row],[LINKING_CODE]]=_xlfn.CONCAT(PAProjects5[[#This Row],[Project Code]]," ",PAProjects5[[#This Row],[Project Name]])</f>
        <v>#NAME?</v>
      </c>
      <c r="D372" s="156" t="e">
        <f>VLOOKUP(PAProjects5[[#This Row],[LINKING_CODE]],MasterTable[[Project Code and Name ]],1,FALSE)</f>
        <v>#N/A</v>
      </c>
      <c r="E372" s="2" t="s">
        <v>511</v>
      </c>
      <c r="F372" s="2" t="s">
        <v>890</v>
      </c>
      <c r="G372" s="2" t="s">
        <v>152</v>
      </c>
      <c r="H372" s="2" t="s">
        <v>1113</v>
      </c>
      <c r="I372" s="2" t="s">
        <v>1836</v>
      </c>
      <c r="J372" s="2" t="s">
        <v>1793</v>
      </c>
      <c r="K372" s="2" t="str">
        <f t="shared" si="51"/>
        <v>Retooling</v>
      </c>
      <c r="L372" s="23">
        <v>44378</v>
      </c>
      <c r="M372" s="23">
        <v>45838</v>
      </c>
      <c r="N372" s="20">
        <v>11.5138</v>
      </c>
      <c r="O372" s="20">
        <v>0</v>
      </c>
      <c r="P372" s="20">
        <v>11.5138</v>
      </c>
      <c r="Q372" s="20">
        <f>SUMIFS(MasterTable[Estimate of Arrears at end of the current FY 2020/21 (value)],MasterTable[[Project Code and Name ]],PAProjects5[[#This Row],[LINKING_CODE]],MasterTable[Funding Source],"GoU Funded")/10^9</f>
        <v>0</v>
      </c>
      <c r="R372" s="2">
        <v>2.2158000000000002</v>
      </c>
      <c r="S372" s="2"/>
      <c r="T372" s="49">
        <f>PAProjects5[[#This Row],[GOU 21/22]]+PAProjects5[[#This Row],[DONOR 21/22]]</f>
        <v>2.2158000000000002</v>
      </c>
      <c r="U372" s="2">
        <v>2.6560000000000001</v>
      </c>
      <c r="V372" s="2"/>
      <c r="W372" s="49">
        <f>PAProjects5[[#This Row],[GOU 22/23]]+PAProjects5[[#This Row],[DONOR 22/23]]</f>
        <v>2.6560000000000001</v>
      </c>
      <c r="X372" s="2">
        <v>2.8460000000000001</v>
      </c>
      <c r="Y372" s="2"/>
      <c r="Z372" s="2">
        <f>PAProjects5[[#This Row],[GOU 23/24]]+PAProjects5[[#This Row],[DONOR 23/24]]</f>
        <v>2.8460000000000001</v>
      </c>
      <c r="AA372" s="2">
        <v>2.8879999999999999</v>
      </c>
      <c r="AB372" s="2"/>
      <c r="AC372" s="49">
        <f>PAProjects5[[#This Row],[GOU 24/25]]+PAProjects5[[#This Row],[DONOR 24/25]]</f>
        <v>2.8879999999999999</v>
      </c>
    </row>
  </sheetData>
  <mergeCells count="6">
    <mergeCell ref="AA2:AC2"/>
    <mergeCell ref="A1:J2"/>
    <mergeCell ref="N2:P2"/>
    <mergeCell ref="R2:T2"/>
    <mergeCell ref="U2:W2"/>
    <mergeCell ref="X2:Z2"/>
  </mergeCells>
  <conditionalFormatting sqref="C4:D372">
    <cfRule type="duplicateValues" dxfId="68" priority="18"/>
    <cfRule type="duplicateValues" dxfId="67" priority="19"/>
  </conditionalFormatting>
  <pageMargins left="0.7" right="0.7" top="0.75" bottom="0.75" header="0.3" footer="0.3"/>
  <pageSetup paperSize="9" orientation="portrait" horizontalDpi="300" verticalDpi="30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M26"/>
  <sheetViews>
    <sheetView zoomScale="80" zoomScaleNormal="80" workbookViewId="0">
      <pane ySplit="3" topLeftCell="A10" activePane="bottomLeft" state="frozen"/>
      <selection pane="bottomLeft" activeCell="F25" sqref="F25:I26"/>
    </sheetView>
  </sheetViews>
  <sheetFormatPr defaultColWidth="15.5703125" defaultRowHeight="15" x14ac:dyDescent="0.25"/>
  <cols>
    <col min="1" max="1" width="7.140625" customWidth="1"/>
    <col min="2" max="2" width="11.5703125" customWidth="1"/>
    <col min="3" max="3" width="20.7109375" hidden="1" customWidth="1"/>
    <col min="4" max="4" width="13.5703125" customWidth="1"/>
    <col min="5" max="5" width="17.42578125" customWidth="1"/>
    <col min="6" max="6" width="14.7109375" customWidth="1"/>
    <col min="7" max="7" width="14.140625" customWidth="1"/>
    <col min="8" max="8" width="12.42578125" bestFit="1" customWidth="1"/>
    <col min="9" max="9" width="12.5703125" customWidth="1"/>
    <col min="10" max="10" width="12.85546875" bestFit="1" customWidth="1"/>
    <col min="11" max="11" width="16.7109375" bestFit="1" customWidth="1"/>
    <col min="12" max="12" width="12.85546875" customWidth="1"/>
    <col min="13" max="13" width="16.7109375" bestFit="1" customWidth="1"/>
  </cols>
  <sheetData>
    <row r="2" spans="1:13" x14ac:dyDescent="0.25">
      <c r="A2" s="66" t="s">
        <v>1507</v>
      </c>
    </row>
    <row r="3" spans="1:13" s="69" customFormat="1" ht="30.95" customHeight="1" x14ac:dyDescent="0.25">
      <c r="A3" s="67"/>
      <c r="B3" s="67" t="s">
        <v>1618</v>
      </c>
      <c r="C3" s="67" t="s">
        <v>2</v>
      </c>
      <c r="D3" s="67"/>
      <c r="E3" s="67"/>
      <c r="F3"/>
      <c r="G3"/>
    </row>
    <row r="4" spans="1:13" s="69" customFormat="1" ht="45" x14ac:dyDescent="0.25">
      <c r="A4" s="67"/>
      <c r="B4" s="82" t="s">
        <v>1499</v>
      </c>
      <c r="C4" s="82"/>
      <c r="D4" s="83" t="s">
        <v>1506</v>
      </c>
      <c r="E4" s="83"/>
      <c r="F4"/>
      <c r="G4"/>
      <c r="H4"/>
      <c r="I4"/>
      <c r="J4"/>
      <c r="K4"/>
      <c r="L4"/>
      <c r="M4"/>
    </row>
    <row r="5" spans="1:13" s="69" customFormat="1" ht="42" customHeight="1" x14ac:dyDescent="0.25">
      <c r="A5" s="68" t="s">
        <v>31</v>
      </c>
      <c r="B5" t="s">
        <v>1682</v>
      </c>
      <c r="C5" t="s">
        <v>1683</v>
      </c>
      <c r="D5" s="134" t="s">
        <v>1682</v>
      </c>
      <c r="E5" s="134" t="s">
        <v>1683</v>
      </c>
      <c r="F5" s="126" t="s">
        <v>1684</v>
      </c>
      <c r="G5" s="126" t="s">
        <v>1685</v>
      </c>
      <c r="H5" s="127" t="s">
        <v>1686</v>
      </c>
      <c r="I5" s="127" t="s">
        <v>1687</v>
      </c>
      <c r="J5"/>
      <c r="K5"/>
      <c r="L5"/>
      <c r="M5"/>
    </row>
    <row r="6" spans="1:13" x14ac:dyDescent="0.25">
      <c r="A6" s="67" t="s">
        <v>0</v>
      </c>
      <c r="B6" s="65">
        <v>0</v>
      </c>
      <c r="C6" s="65">
        <v>0</v>
      </c>
      <c r="D6" s="65">
        <v>2060000000</v>
      </c>
      <c r="E6" s="65">
        <v>566728000000</v>
      </c>
      <c r="F6" s="129">
        <f>VLOOKUP(A6,MTEF2[],3,FALSE)</f>
        <v>24.476921257488936</v>
      </c>
      <c r="G6" s="129">
        <f>VLOOKUP(A6,MTEF2[],4,FALSE)</f>
        <v>275.20089432499998</v>
      </c>
      <c r="H6" s="132">
        <f>D6-F6*10^9</f>
        <v>-22416921257.488937</v>
      </c>
      <c r="I6" s="132">
        <f>E6-G6*10^9</f>
        <v>291527105675</v>
      </c>
    </row>
    <row r="7" spans="1:13" x14ac:dyDescent="0.25">
      <c r="A7" s="67" t="s">
        <v>957</v>
      </c>
      <c r="B7" s="65">
        <v>0</v>
      </c>
      <c r="C7" s="65">
        <v>0</v>
      </c>
      <c r="D7" s="65">
        <v>209417716167</v>
      </c>
      <c r="E7" s="65">
        <v>27950000000</v>
      </c>
      <c r="F7" s="129">
        <f>VLOOKUP(A7,MTEF2[],3,FALSE)</f>
        <v>74.729144276891049</v>
      </c>
      <c r="G7" s="129">
        <f>VLOOKUP(A7,MTEF2[],4,FALSE)</f>
        <v>0</v>
      </c>
      <c r="H7" s="132">
        <f t="shared" ref="H7:I25" si="0">D7-F7*10^9</f>
        <v>134688571890.10895</v>
      </c>
      <c r="I7" s="132">
        <f t="shared" si="0"/>
        <v>27950000000</v>
      </c>
    </row>
    <row r="8" spans="1:13" x14ac:dyDescent="0.25">
      <c r="A8" s="67" t="s">
        <v>1184</v>
      </c>
      <c r="B8" s="65">
        <v>0</v>
      </c>
      <c r="C8" s="65"/>
      <c r="D8" s="65">
        <v>12651298282</v>
      </c>
      <c r="E8" s="65"/>
      <c r="F8" s="129">
        <f>VLOOKUP(A8,MTEF2[],3,FALSE)</f>
        <v>7.42870171858877</v>
      </c>
      <c r="G8" s="129">
        <f>VLOOKUP(A8,MTEF2[],4,FALSE)</f>
        <v>0</v>
      </c>
      <c r="H8" s="132">
        <f t="shared" si="0"/>
        <v>5222596563.4112301</v>
      </c>
      <c r="I8" s="132">
        <f t="shared" si="0"/>
        <v>0</v>
      </c>
    </row>
    <row r="9" spans="1:13" x14ac:dyDescent="0.25">
      <c r="A9" s="67" t="s">
        <v>932</v>
      </c>
      <c r="B9" s="65">
        <v>0</v>
      </c>
      <c r="C9" s="65">
        <v>0</v>
      </c>
      <c r="D9" s="65">
        <v>52670621739</v>
      </c>
      <c r="E9" s="65">
        <v>157075322600</v>
      </c>
      <c r="F9" s="129">
        <f>VLOOKUP(A9,MTEF2[],3,FALSE)</f>
        <v>61.063461535208823</v>
      </c>
      <c r="G9" s="129">
        <f>VLOOKUP(A9,MTEF2[],4,FALSE)</f>
        <v>196.02166558635003</v>
      </c>
      <c r="H9" s="132">
        <f t="shared" si="0"/>
        <v>-8392839796.2088242</v>
      </c>
      <c r="I9" s="132">
        <f t="shared" si="0"/>
        <v>-38946342986.350037</v>
      </c>
    </row>
    <row r="10" spans="1:13" x14ac:dyDescent="0.25">
      <c r="A10" s="67" t="s">
        <v>1106</v>
      </c>
      <c r="B10" s="65"/>
      <c r="C10" s="65"/>
      <c r="D10" s="65">
        <v>8920000000</v>
      </c>
      <c r="E10" s="65">
        <v>116924000000</v>
      </c>
      <c r="F10" s="129">
        <f>VLOOKUP(A10,MTEF2[],3,FALSE)</f>
        <v>8.9209644581077292</v>
      </c>
      <c r="G10" s="129">
        <f>VLOOKUP(A10,MTEF2[],4,FALSE)</f>
        <v>478.1525955504585</v>
      </c>
      <c r="H10" s="132">
        <f t="shared" si="0"/>
        <v>-964458.10772895813</v>
      </c>
      <c r="I10" s="132">
        <f t="shared" si="0"/>
        <v>-361228595550.4585</v>
      </c>
    </row>
    <row r="11" spans="1:13" x14ac:dyDescent="0.25">
      <c r="A11" s="67" t="s">
        <v>961</v>
      </c>
      <c r="B11" s="65">
        <v>12063278594</v>
      </c>
      <c r="C11" s="65">
        <v>0</v>
      </c>
      <c r="D11" s="65">
        <v>59102034889</v>
      </c>
      <c r="E11" s="65">
        <v>190683240000</v>
      </c>
      <c r="F11" s="129">
        <f>VLOOKUP(A11,MTEF2[],3,FALSE)</f>
        <v>71.376765663987968</v>
      </c>
      <c r="G11" s="129">
        <f>VLOOKUP(A11,MTEF2[],4,FALSE)</f>
        <v>230.51612243198284</v>
      </c>
      <c r="H11" s="132">
        <f t="shared" si="0"/>
        <v>-12274730774.987961</v>
      </c>
      <c r="I11" s="132">
        <f t="shared" si="0"/>
        <v>-39832882431.982849</v>
      </c>
    </row>
    <row r="12" spans="1:13" x14ac:dyDescent="0.25">
      <c r="A12" s="67" t="s">
        <v>97</v>
      </c>
      <c r="B12" s="65">
        <v>154498413</v>
      </c>
      <c r="C12" s="65">
        <v>0</v>
      </c>
      <c r="D12" s="65">
        <v>61131471431</v>
      </c>
      <c r="E12" s="65">
        <v>1457121680624</v>
      </c>
      <c r="F12" s="129">
        <f>VLOOKUP(A12,MTEF2[],3,FALSE)</f>
        <v>50.257824860285176</v>
      </c>
      <c r="G12" s="129">
        <f>VLOOKUP(A12,MTEF2[],4,FALSE)</f>
        <v>912.77164236372698</v>
      </c>
      <c r="H12" s="132">
        <f t="shared" si="0"/>
        <v>10873646570.714821</v>
      </c>
      <c r="I12" s="132">
        <f t="shared" si="0"/>
        <v>544350038260.27307</v>
      </c>
    </row>
    <row r="13" spans="1:13" x14ac:dyDescent="0.25">
      <c r="A13" s="67" t="s">
        <v>98</v>
      </c>
      <c r="B13" s="65">
        <v>450000000</v>
      </c>
      <c r="C13" s="65"/>
      <c r="D13" s="65">
        <v>34641860000</v>
      </c>
      <c r="E13" s="65"/>
      <c r="F13" s="129">
        <f>VLOOKUP(A13,MTEF2[],3,FALSE)</f>
        <v>4.7837630004469229</v>
      </c>
      <c r="G13" s="129">
        <f>VLOOKUP(A13,MTEF2[],4,FALSE)</f>
        <v>7.8628826950000006</v>
      </c>
      <c r="H13" s="132">
        <f t="shared" si="0"/>
        <v>29858096999.553078</v>
      </c>
      <c r="I13" s="132">
        <f t="shared" si="0"/>
        <v>-7862882695.000001</v>
      </c>
    </row>
    <row r="14" spans="1:13" x14ac:dyDescent="0.25">
      <c r="A14" s="67" t="s">
        <v>99</v>
      </c>
      <c r="B14" s="65">
        <v>0</v>
      </c>
      <c r="C14" s="65"/>
      <c r="D14" s="65">
        <v>393967000000</v>
      </c>
      <c r="E14" s="65">
        <v>205006000000</v>
      </c>
      <c r="F14" s="129">
        <f>VLOOKUP(A14,MTEF2[],3,FALSE)</f>
        <v>393.96742657641335</v>
      </c>
      <c r="G14" s="129">
        <f>VLOOKUP(A14,MTEF2[],4,FALSE)</f>
        <v>245.49885494463751</v>
      </c>
      <c r="H14" s="132">
        <f t="shared" si="0"/>
        <v>-426576.41333007813</v>
      </c>
      <c r="I14" s="132">
        <f t="shared" si="0"/>
        <v>-40492854944.637512</v>
      </c>
    </row>
    <row r="15" spans="1:13" x14ac:dyDescent="0.25">
      <c r="A15" s="67" t="s">
        <v>66</v>
      </c>
      <c r="B15" s="65">
        <v>0</v>
      </c>
      <c r="C15" s="65">
        <v>0</v>
      </c>
      <c r="D15" s="65">
        <v>282164589000</v>
      </c>
      <c r="E15" s="65">
        <v>403530000000</v>
      </c>
      <c r="F15" s="129">
        <f>VLOOKUP(A15,MTEF2[],3,FALSE)</f>
        <v>282.24881936899999</v>
      </c>
      <c r="G15" s="129">
        <f>VLOOKUP(A15,MTEF2[],4,FALSE)</f>
        <v>833.292799217469</v>
      </c>
      <c r="H15" s="132">
        <f t="shared" si="0"/>
        <v>-84230369</v>
      </c>
      <c r="I15" s="132">
        <f t="shared" si="0"/>
        <v>-429762799217.46899</v>
      </c>
    </row>
    <row r="16" spans="1:13" x14ac:dyDescent="0.25">
      <c r="A16" s="67" t="s">
        <v>69</v>
      </c>
      <c r="B16" s="65">
        <v>0</v>
      </c>
      <c r="C16" s="65"/>
      <c r="D16" s="65">
        <v>1600000000</v>
      </c>
      <c r="E16" s="65"/>
      <c r="F16" s="129">
        <f>VLOOKUP(A16,MTEF2[],3,FALSE)</f>
        <v>20.222839682846068</v>
      </c>
      <c r="G16" s="129">
        <f>VLOOKUP(A16,MTEF2[],4,FALSE)</f>
        <v>0</v>
      </c>
      <c r="H16" s="132">
        <f t="shared" si="0"/>
        <v>-18622839682.846069</v>
      </c>
      <c r="I16" s="132">
        <f t="shared" si="0"/>
        <v>0</v>
      </c>
    </row>
    <row r="17" spans="1:9" x14ac:dyDescent="0.25">
      <c r="A17" s="67" t="s">
        <v>71</v>
      </c>
      <c r="B17" s="65">
        <v>500000000</v>
      </c>
      <c r="C17" s="65"/>
      <c r="D17" s="65">
        <v>54212031000</v>
      </c>
      <c r="E17" s="65"/>
      <c r="F17" s="129">
        <f>VLOOKUP(A17,MTEF2[],3,FALSE)</f>
        <v>16.140968872299588</v>
      </c>
      <c r="G17" s="129">
        <f>VLOOKUP(A17,MTEF2[],4,FALSE)</f>
        <v>0</v>
      </c>
      <c r="H17" s="132">
        <f t="shared" si="0"/>
        <v>38071062127.700409</v>
      </c>
      <c r="I17" s="132">
        <f t="shared" si="0"/>
        <v>0</v>
      </c>
    </row>
    <row r="18" spans="1:9" x14ac:dyDescent="0.25">
      <c r="A18" s="67" t="s">
        <v>72</v>
      </c>
      <c r="B18" s="65">
        <v>44500000000</v>
      </c>
      <c r="C18" s="65">
        <v>0</v>
      </c>
      <c r="D18" s="65">
        <v>519891000000</v>
      </c>
      <c r="E18" s="65">
        <v>137568815468</v>
      </c>
      <c r="F18" s="129">
        <f>VLOOKUP(A18,MTEF2[],3,FALSE)</f>
        <v>77.507838800000002</v>
      </c>
      <c r="G18" s="129">
        <f>VLOOKUP(A18,MTEF2[],4,FALSE)</f>
        <v>142.3299711035425</v>
      </c>
      <c r="H18" s="132">
        <f t="shared" si="0"/>
        <v>442383161200</v>
      </c>
      <c r="I18" s="132">
        <f t="shared" si="0"/>
        <v>-4761155635.542511</v>
      </c>
    </row>
    <row r="19" spans="1:9" x14ac:dyDescent="0.25">
      <c r="A19" s="67" t="s">
        <v>113</v>
      </c>
      <c r="B19" s="65">
        <v>315083015356</v>
      </c>
      <c r="C19" s="65">
        <v>0</v>
      </c>
      <c r="D19" s="65">
        <v>1795281705264</v>
      </c>
      <c r="E19" s="65">
        <v>1649754621490</v>
      </c>
      <c r="F19" s="129">
        <f>VLOOKUP(A19,MTEF2[],3,FALSE)</f>
        <v>1724.5518607149097</v>
      </c>
      <c r="G19" s="129">
        <f>VLOOKUP(A19,MTEF2[],4,FALSE)</f>
        <v>2686.0364260680594</v>
      </c>
      <c r="H19" s="132">
        <f t="shared" si="0"/>
        <v>70729844549.090332</v>
      </c>
      <c r="I19" s="132">
        <f t="shared" si="0"/>
        <v>-1036281804578.0596</v>
      </c>
    </row>
    <row r="20" spans="1:9" x14ac:dyDescent="0.25">
      <c r="A20" s="67" t="s">
        <v>117</v>
      </c>
      <c r="B20" s="65">
        <v>60000000</v>
      </c>
      <c r="C20" s="65"/>
      <c r="D20" s="65">
        <v>4744000000</v>
      </c>
      <c r="E20" s="65"/>
      <c r="F20" s="129">
        <f>VLOOKUP(A20,MTEF2[],3,FALSE)</f>
        <v>0.15530251239003345</v>
      </c>
      <c r="G20" s="129">
        <f>VLOOKUP(A20,MTEF2[],4,FALSE)</f>
        <v>0</v>
      </c>
      <c r="H20" s="132">
        <f t="shared" si="0"/>
        <v>4588697487.6099663</v>
      </c>
      <c r="I20" s="132">
        <f t="shared" si="0"/>
        <v>0</v>
      </c>
    </row>
    <row r="21" spans="1:9" x14ac:dyDescent="0.25">
      <c r="A21" s="67" t="s">
        <v>123</v>
      </c>
      <c r="B21" s="65">
        <v>0</v>
      </c>
      <c r="C21" s="65">
        <v>0</v>
      </c>
      <c r="D21" s="65">
        <v>231140000000</v>
      </c>
      <c r="E21" s="65">
        <v>464630000000</v>
      </c>
      <c r="F21" s="129">
        <f>VLOOKUP(A21,MTEF2[],3,FALSE)</f>
        <v>128.13934087499999</v>
      </c>
      <c r="G21" s="129">
        <f>VLOOKUP(A21,MTEF2[],4,FALSE)</f>
        <v>436.15994575726813</v>
      </c>
      <c r="H21" s="132">
        <f t="shared" si="0"/>
        <v>103000659125.00002</v>
      </c>
      <c r="I21" s="132">
        <f t="shared" si="0"/>
        <v>28470054242.731873</v>
      </c>
    </row>
    <row r="22" spans="1:9" x14ac:dyDescent="0.25">
      <c r="A22" s="67" t="s">
        <v>137</v>
      </c>
      <c r="B22" s="65">
        <v>5288675782</v>
      </c>
      <c r="C22" s="65"/>
      <c r="D22" s="65">
        <v>13381891564</v>
      </c>
      <c r="E22" s="65"/>
      <c r="F22" s="129">
        <f>VLOOKUP(A22,MTEF2[],3,FALSE)</f>
        <v>3.6857687139999999</v>
      </c>
      <c r="G22" s="129">
        <f>VLOOKUP(A22,MTEF2[],4,FALSE)</f>
        <v>0</v>
      </c>
      <c r="H22" s="132">
        <f t="shared" si="0"/>
        <v>9696122850</v>
      </c>
      <c r="I22" s="132">
        <f t="shared" si="0"/>
        <v>0</v>
      </c>
    </row>
    <row r="23" spans="1:9" x14ac:dyDescent="0.25">
      <c r="A23" s="67" t="s">
        <v>154</v>
      </c>
      <c r="B23" s="65">
        <v>0</v>
      </c>
      <c r="C23" s="65"/>
      <c r="D23" s="65">
        <v>11652915228</v>
      </c>
      <c r="E23" s="65"/>
      <c r="F23" s="129">
        <f>VLOOKUP(A23,MTEF2[],3,FALSE)</f>
        <v>11.652915228730482</v>
      </c>
      <c r="G23" s="129">
        <f>VLOOKUP(A23,MTEF2[],4,FALSE)</f>
        <v>0</v>
      </c>
      <c r="H23" s="132">
        <f t="shared" si="0"/>
        <v>-0.73048210144042969</v>
      </c>
      <c r="I23" s="132">
        <f t="shared" si="0"/>
        <v>0</v>
      </c>
    </row>
    <row r="24" spans="1:9" x14ac:dyDescent="0.25">
      <c r="A24" s="67" t="s">
        <v>306</v>
      </c>
      <c r="B24" s="65">
        <v>0</v>
      </c>
      <c r="C24" s="65"/>
      <c r="D24" s="65">
        <v>2263000000</v>
      </c>
      <c r="E24" s="65"/>
      <c r="F24" s="129">
        <f>VLOOKUP(A24,MTEF2[],3,FALSE)</f>
        <v>5.6280719999999972E-2</v>
      </c>
      <c r="G24" s="129">
        <f>VLOOKUP(A24,MTEF2[],4,FALSE)</f>
        <v>0</v>
      </c>
      <c r="H24" s="132">
        <f t="shared" si="0"/>
        <v>2206719280</v>
      </c>
      <c r="I24" s="132">
        <f t="shared" si="0"/>
        <v>0</v>
      </c>
    </row>
    <row r="25" spans="1:9" x14ac:dyDescent="0.25">
      <c r="A25" s="67" t="s">
        <v>308</v>
      </c>
      <c r="B25" s="65">
        <v>0</v>
      </c>
      <c r="C25" s="65"/>
      <c r="D25" s="65">
        <v>18850000000</v>
      </c>
      <c r="E25" s="65"/>
      <c r="F25" s="129">
        <f>VLOOKUP(A25,MTEF2[],3,FALSE)</f>
        <v>1.9000000000000004</v>
      </c>
      <c r="G25" s="129">
        <f>VLOOKUP(A25,MTEF2[],4,FALSE)</f>
        <v>0</v>
      </c>
      <c r="H25" s="132">
        <f t="shared" si="0"/>
        <v>16950000000</v>
      </c>
      <c r="I25" s="132">
        <f t="shared" si="0"/>
        <v>0</v>
      </c>
    </row>
    <row r="26" spans="1:9" x14ac:dyDescent="0.25">
      <c r="A26" s="67" t="s">
        <v>1179</v>
      </c>
      <c r="B26" s="65">
        <v>0</v>
      </c>
      <c r="C26" s="65"/>
      <c r="D26" s="65">
        <v>174692082000</v>
      </c>
      <c r="E26" s="65"/>
      <c r="F26" s="129">
        <f>VLOOKUP(A26,MTEF2[],3,FALSE)</f>
        <v>15.406903924165951</v>
      </c>
      <c r="G26" s="129">
        <f>VLOOKUP(A26,MTEF2[],4,FALSE)</f>
        <v>0</v>
      </c>
      <c r="H26" s="132">
        <f t="shared" ref="H26" si="1">D26-F26*10^9</f>
        <v>159285178075.83405</v>
      </c>
      <c r="I26" s="132">
        <f t="shared" ref="I26" si="2">E26-G26*10^9</f>
        <v>0</v>
      </c>
    </row>
  </sheetData>
  <conditionalFormatting sqref="H6:I26">
    <cfRule type="cellIs" dxfId="66" priority="1" operator="lessThan">
      <formula>0</formula>
    </cfRule>
    <cfRule type="cellIs" dxfId="65" priority="2" operator="greaterThan">
      <formula>0</formula>
    </cfRule>
  </conditionalFormatting>
  <pageMargins left="0.7" right="0.7" top="0.75" bottom="0.75" header="0.3" footer="0.3"/>
  <pageSetup orientation="portrait" horizontalDpi="90" verticalDpi="9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8"/>
  <sheetViews>
    <sheetView zoomScale="80" zoomScaleNormal="80" workbookViewId="0">
      <pane ySplit="3" topLeftCell="A4" activePane="bottomLeft" state="frozen"/>
      <selection pane="bottomLeft" activeCell="A5" sqref="A5:XFD5"/>
    </sheetView>
  </sheetViews>
  <sheetFormatPr defaultColWidth="15.5703125" defaultRowHeight="15" x14ac:dyDescent="0.25"/>
  <cols>
    <col min="1" max="1" width="23.140625" customWidth="1"/>
    <col min="2" max="2" width="16.42578125" bestFit="1" customWidth="1"/>
    <col min="3" max="3" width="16.7109375" bestFit="1" customWidth="1"/>
    <col min="4" max="4" width="12.5703125" customWidth="1"/>
    <col min="5" max="5" width="15.140625" customWidth="1"/>
    <col min="6" max="6" width="18.85546875" bestFit="1" customWidth="1"/>
    <col min="7" max="7" width="17.140625" customWidth="1"/>
    <col min="8" max="8" width="12.85546875" bestFit="1" customWidth="1"/>
    <col min="9" max="9" width="16.7109375" bestFit="1" customWidth="1"/>
    <col min="10" max="10" width="12.85546875" bestFit="1" customWidth="1"/>
    <col min="11" max="11" width="16.7109375" bestFit="1" customWidth="1"/>
    <col min="12" max="12" width="12.85546875" customWidth="1"/>
    <col min="13" max="13" width="16.7109375" bestFit="1" customWidth="1"/>
  </cols>
  <sheetData>
    <row r="1" spans="1:13" x14ac:dyDescent="0.25">
      <c r="A1" s="68" t="s">
        <v>31</v>
      </c>
      <c r="B1" s="67" t="s">
        <v>113</v>
      </c>
    </row>
    <row r="2" spans="1:13" x14ac:dyDescent="0.25">
      <c r="A2" s="66" t="s">
        <v>1690</v>
      </c>
    </row>
    <row r="3" spans="1:13" s="69" customFormat="1" ht="30.95" customHeight="1" x14ac:dyDescent="0.25">
      <c r="A3" s="67"/>
      <c r="B3" s="67" t="s">
        <v>1689</v>
      </c>
      <c r="C3" s="67"/>
      <c r="D3"/>
      <c r="E3"/>
      <c r="F3"/>
      <c r="G3"/>
      <c r="H3"/>
      <c r="I3"/>
      <c r="J3"/>
      <c r="K3"/>
      <c r="L3"/>
    </row>
    <row r="4" spans="1:13" s="69" customFormat="1" ht="45" x14ac:dyDescent="0.25">
      <c r="A4" s="67" t="s">
        <v>1618</v>
      </c>
      <c r="B4" s="133" t="s">
        <v>1682</v>
      </c>
      <c r="C4" s="133" t="s">
        <v>1683</v>
      </c>
      <c r="D4" s="126" t="s">
        <v>1684</v>
      </c>
      <c r="E4" s="126" t="s">
        <v>1685</v>
      </c>
      <c r="F4" s="127" t="s">
        <v>1686</v>
      </c>
      <c r="G4" s="127" t="s">
        <v>1687</v>
      </c>
      <c r="H4"/>
      <c r="I4"/>
      <c r="J4"/>
      <c r="K4"/>
      <c r="L4"/>
      <c r="M4"/>
    </row>
    <row r="5" spans="1:13" s="69" customFormat="1" x14ac:dyDescent="0.25">
      <c r="A5" s="128" t="s">
        <v>1688</v>
      </c>
      <c r="B5" s="65">
        <v>1795281705264</v>
      </c>
      <c r="C5" s="65">
        <v>1649754621490</v>
      </c>
      <c r="D5" s="129">
        <f>VLOOKUP($B$1,MTEF2[],3,FALSE)</f>
        <v>1724.5518607149097</v>
      </c>
      <c r="E5" s="129">
        <f>VLOOKUP($B$1,MTEF2[],4,FALSE)</f>
        <v>2686.0364260680594</v>
      </c>
      <c r="F5" s="65">
        <f>B5-D5*10^9</f>
        <v>70729844549.090332</v>
      </c>
      <c r="G5" s="65">
        <f>C5-E5*10^9</f>
        <v>-1036281804578.0596</v>
      </c>
      <c r="H5"/>
      <c r="I5"/>
      <c r="J5"/>
      <c r="K5"/>
      <c r="L5"/>
      <c r="M5"/>
    </row>
    <row r="6" spans="1:13" x14ac:dyDescent="0.25">
      <c r="A6" s="130" t="s">
        <v>1500</v>
      </c>
      <c r="B6" s="65">
        <v>510430541808</v>
      </c>
      <c r="C6" s="65">
        <v>1111350000000</v>
      </c>
      <c r="D6" s="129">
        <f>VLOOKUP($B$1,MTEF2[],5,FALSE)</f>
        <v>1724.5518607149097</v>
      </c>
      <c r="E6" s="129">
        <f>VLOOKUP($B$1,MTEF2[],6,FALSE)</f>
        <v>2830.5831162120435</v>
      </c>
      <c r="F6" s="65">
        <f t="shared" ref="F6:G8" si="0">B6-D6*10^9</f>
        <v>-1214121318906.9097</v>
      </c>
      <c r="G6" s="65">
        <f t="shared" si="0"/>
        <v>-1719233116212.0435</v>
      </c>
    </row>
    <row r="7" spans="1:13" x14ac:dyDescent="0.25">
      <c r="A7" s="131" t="s">
        <v>1501</v>
      </c>
      <c r="B7" s="65">
        <v>183790700000</v>
      </c>
      <c r="C7" s="65">
        <v>676680000000</v>
      </c>
      <c r="D7" s="129">
        <f>VLOOKUP($B$1,MTEF2[],7,FALSE)</f>
        <v>0</v>
      </c>
      <c r="E7" s="129">
        <f>VLOOKUP($B$1,MTEF2[],8,FALSE)</f>
        <v>0</v>
      </c>
      <c r="F7" s="65">
        <f t="shared" si="0"/>
        <v>183790700000</v>
      </c>
      <c r="G7" s="65">
        <f t="shared" si="0"/>
        <v>676680000000</v>
      </c>
    </row>
    <row r="8" spans="1:13" x14ac:dyDescent="0.25">
      <c r="A8" s="130" t="s">
        <v>1502</v>
      </c>
      <c r="B8" s="65">
        <v>40000000000</v>
      </c>
      <c r="C8" s="65">
        <v>39000000000</v>
      </c>
      <c r="D8" s="129">
        <f>VLOOKUP($B$1,MTEF2[],9,FALSE)</f>
        <v>0</v>
      </c>
      <c r="E8" s="129">
        <f>VLOOKUP($B$1,MTEF2[],10,FALSE)</f>
        <v>0</v>
      </c>
      <c r="F8" s="65">
        <f t="shared" si="0"/>
        <v>40000000000</v>
      </c>
      <c r="G8" s="65">
        <f t="shared" si="0"/>
        <v>39000000000</v>
      </c>
    </row>
  </sheetData>
  <conditionalFormatting sqref="F5:G8">
    <cfRule type="cellIs" dxfId="64" priority="1" operator="greaterThan">
      <formula>0</formula>
    </cfRule>
    <cfRule type="cellIs" dxfId="63" priority="2" operator="lessThan">
      <formula>0</formula>
    </cfRule>
  </conditionalFormatting>
  <pageMargins left="0.7" right="0.7" top="0.75" bottom="0.75" header="0.3" footer="0.3"/>
  <pageSetup orientation="portrait" horizontalDpi="90" verticalDpi="9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S26"/>
  <sheetViews>
    <sheetView zoomScaleNormal="100" workbookViewId="0">
      <pane ySplit="5" topLeftCell="A6" activePane="bottomLeft" state="frozen"/>
      <selection pane="bottomLeft" activeCell="A6" sqref="A6:A26"/>
    </sheetView>
  </sheetViews>
  <sheetFormatPr defaultColWidth="15.5703125" defaultRowHeight="15" x14ac:dyDescent="0.25"/>
  <cols>
    <col min="1" max="1" width="60.5703125" customWidth="1"/>
    <col min="2" max="3" width="16.7109375" bestFit="1" customWidth="1"/>
    <col min="4" max="4" width="21.42578125" bestFit="1" customWidth="1"/>
    <col min="5" max="5" width="16.7109375" bestFit="1" customWidth="1"/>
    <col min="6" max="6" width="12.85546875" bestFit="1" customWidth="1"/>
    <col min="7" max="7" width="16.7109375" bestFit="1" customWidth="1"/>
    <col min="8" max="8" width="12.85546875" bestFit="1" customWidth="1"/>
    <col min="9" max="9" width="16.7109375" bestFit="1" customWidth="1"/>
    <col min="10" max="10" width="12.85546875" bestFit="1" customWidth="1"/>
    <col min="11" max="11" width="16.7109375" bestFit="1" customWidth="1"/>
    <col min="12" max="12" width="12.85546875" customWidth="1"/>
    <col min="13" max="13" width="16.7109375" bestFit="1" customWidth="1"/>
  </cols>
  <sheetData>
    <row r="2" spans="1:19" x14ac:dyDescent="0.25">
      <c r="A2" s="66" t="s">
        <v>1504</v>
      </c>
    </row>
    <row r="3" spans="1:19" s="67" customFormat="1" x14ac:dyDescent="0.25">
      <c r="B3" s="67" t="s">
        <v>1505</v>
      </c>
      <c r="N3"/>
      <c r="O3"/>
      <c r="P3"/>
      <c r="Q3"/>
      <c r="R3"/>
      <c r="S3"/>
    </row>
    <row r="4" spans="1:19" s="68" customFormat="1" x14ac:dyDescent="0.25">
      <c r="A4" s="67"/>
      <c r="B4" s="74" t="s">
        <v>1499</v>
      </c>
      <c r="C4" s="74"/>
      <c r="D4" s="78" t="s">
        <v>1506</v>
      </c>
      <c r="E4" s="78"/>
      <c r="F4" s="72" t="s">
        <v>1500</v>
      </c>
      <c r="G4" s="72"/>
      <c r="H4" s="73" t="s">
        <v>1501</v>
      </c>
      <c r="I4" s="73"/>
      <c r="J4" s="72" t="s">
        <v>1502</v>
      </c>
      <c r="K4" s="72"/>
      <c r="L4" s="73" t="s">
        <v>1503</v>
      </c>
      <c r="M4" s="73"/>
      <c r="N4" s="69"/>
      <c r="O4" s="69"/>
      <c r="P4" s="69"/>
      <c r="Q4" s="69"/>
      <c r="R4" s="69"/>
      <c r="S4" s="69"/>
    </row>
    <row r="5" spans="1:19" s="68" customFormat="1" x14ac:dyDescent="0.25">
      <c r="A5" s="103" t="s">
        <v>1291</v>
      </c>
      <c r="B5" s="75" t="s">
        <v>19</v>
      </c>
      <c r="C5" s="75" t="s">
        <v>25</v>
      </c>
      <c r="D5" s="76" t="s">
        <v>19</v>
      </c>
      <c r="E5" s="76" t="s">
        <v>25</v>
      </c>
      <c r="F5" s="77" t="s">
        <v>19</v>
      </c>
      <c r="G5" s="77" t="s">
        <v>25</v>
      </c>
      <c r="H5" s="76" t="s">
        <v>19</v>
      </c>
      <c r="I5" s="76" t="s">
        <v>25</v>
      </c>
      <c r="J5" s="77" t="s">
        <v>19</v>
      </c>
      <c r="K5" s="77" t="s">
        <v>25</v>
      </c>
      <c r="L5" s="76" t="s">
        <v>19</v>
      </c>
      <c r="M5" s="76" t="s">
        <v>25</v>
      </c>
      <c r="N5" s="69"/>
      <c r="O5" s="69"/>
      <c r="P5" s="69"/>
      <c r="Q5" s="69"/>
      <c r="R5" s="69"/>
      <c r="S5" s="69"/>
    </row>
    <row r="6" spans="1:19" x14ac:dyDescent="0.25">
      <c r="A6" s="9" t="s">
        <v>1627</v>
      </c>
      <c r="B6" s="65">
        <v>0</v>
      </c>
      <c r="C6" s="65">
        <v>0</v>
      </c>
      <c r="D6" s="65">
        <v>2060000000</v>
      </c>
      <c r="E6" s="65">
        <v>566728000000</v>
      </c>
      <c r="F6" s="65">
        <v>5291300000</v>
      </c>
      <c r="G6" s="65">
        <v>0</v>
      </c>
      <c r="H6" s="65">
        <v>2905800000</v>
      </c>
      <c r="I6" s="65">
        <v>0</v>
      </c>
      <c r="J6" s="65">
        <v>1788400000</v>
      </c>
      <c r="K6" s="65">
        <v>0</v>
      </c>
      <c r="L6" s="65">
        <v>0</v>
      </c>
      <c r="M6" s="65">
        <v>0</v>
      </c>
    </row>
    <row r="7" spans="1:19" x14ac:dyDescent="0.25">
      <c r="A7" s="9" t="s">
        <v>1628</v>
      </c>
      <c r="B7" s="65">
        <v>0</v>
      </c>
      <c r="C7" s="65">
        <v>0</v>
      </c>
      <c r="D7" s="65">
        <v>209417716167</v>
      </c>
      <c r="E7" s="65">
        <v>27950000000</v>
      </c>
      <c r="F7" s="65">
        <v>9288000000</v>
      </c>
      <c r="G7" s="65">
        <v>0</v>
      </c>
      <c r="H7" s="65">
        <v>9417000000</v>
      </c>
      <c r="I7" s="65">
        <v>0</v>
      </c>
      <c r="J7" s="65">
        <v>7055000000</v>
      </c>
      <c r="K7" s="65">
        <v>0</v>
      </c>
      <c r="L7" s="65">
        <v>0</v>
      </c>
      <c r="M7" s="65">
        <v>0</v>
      </c>
    </row>
    <row r="8" spans="1:19" x14ac:dyDescent="0.25">
      <c r="A8" s="9" t="s">
        <v>1629</v>
      </c>
      <c r="B8" s="65">
        <v>0</v>
      </c>
      <c r="C8" s="65">
        <v>0</v>
      </c>
      <c r="D8" s="65">
        <v>12651298282</v>
      </c>
      <c r="E8" s="65">
        <v>0</v>
      </c>
      <c r="F8" s="65">
        <v>8900000000</v>
      </c>
      <c r="G8" s="65">
        <v>0</v>
      </c>
      <c r="H8" s="65">
        <v>8400000000</v>
      </c>
      <c r="I8" s="65">
        <v>0</v>
      </c>
      <c r="J8" s="65">
        <v>7900000000</v>
      </c>
      <c r="K8" s="65">
        <v>0</v>
      </c>
      <c r="L8" s="65">
        <v>0</v>
      </c>
      <c r="M8" s="65">
        <v>0</v>
      </c>
    </row>
    <row r="9" spans="1:19" x14ac:dyDescent="0.25">
      <c r="A9" s="9" t="s">
        <v>1630</v>
      </c>
      <c r="B9" s="65">
        <v>0</v>
      </c>
      <c r="C9" s="65">
        <v>0</v>
      </c>
      <c r="D9" s="65">
        <v>52670621739</v>
      </c>
      <c r="E9" s="65">
        <v>157075322600</v>
      </c>
      <c r="F9" s="65">
        <v>34219873757</v>
      </c>
      <c r="G9" s="65">
        <v>43800000000</v>
      </c>
      <c r="H9" s="65">
        <v>31379053757</v>
      </c>
      <c r="I9" s="65">
        <v>0</v>
      </c>
      <c r="J9" s="65">
        <v>32186233757</v>
      </c>
      <c r="K9" s="65">
        <v>0</v>
      </c>
      <c r="L9" s="65">
        <v>10478515838</v>
      </c>
      <c r="M9" s="65">
        <v>0</v>
      </c>
    </row>
    <row r="10" spans="1:19" x14ac:dyDescent="0.25">
      <c r="A10" s="9" t="s">
        <v>1631</v>
      </c>
      <c r="B10" s="65">
        <v>0</v>
      </c>
      <c r="C10" s="65">
        <v>0</v>
      </c>
      <c r="D10" s="65">
        <v>8920000000</v>
      </c>
      <c r="E10" s="65">
        <v>116924000000</v>
      </c>
      <c r="F10" s="65">
        <v>7480000000</v>
      </c>
      <c r="G10" s="65">
        <v>82010000000</v>
      </c>
      <c r="H10" s="65">
        <v>4000000000</v>
      </c>
      <c r="I10" s="65">
        <v>0</v>
      </c>
      <c r="J10" s="65">
        <v>4000000000</v>
      </c>
      <c r="K10" s="65">
        <v>0</v>
      </c>
      <c r="L10" s="65">
        <v>0</v>
      </c>
      <c r="M10" s="65">
        <v>0</v>
      </c>
    </row>
    <row r="11" spans="1:19" x14ac:dyDescent="0.25">
      <c r="A11" s="9" t="s">
        <v>1632</v>
      </c>
      <c r="B11" s="65">
        <v>12063278594</v>
      </c>
      <c r="C11" s="65">
        <v>0</v>
      </c>
      <c r="D11" s="65">
        <v>59102034889</v>
      </c>
      <c r="E11" s="65">
        <v>190683240000</v>
      </c>
      <c r="F11" s="65">
        <v>12050000000</v>
      </c>
      <c r="G11" s="65">
        <v>125400000000</v>
      </c>
      <c r="H11" s="65">
        <v>46970000000</v>
      </c>
      <c r="I11" s="65">
        <v>219790000000</v>
      </c>
      <c r="J11" s="65">
        <v>37850000000</v>
      </c>
      <c r="K11" s="65">
        <v>185700000000</v>
      </c>
      <c r="L11" s="65">
        <v>0</v>
      </c>
      <c r="M11" s="65">
        <v>0</v>
      </c>
    </row>
    <row r="12" spans="1:19" x14ac:dyDescent="0.25">
      <c r="A12" s="9" t="s">
        <v>332</v>
      </c>
      <c r="B12" s="65">
        <v>154498413</v>
      </c>
      <c r="C12" s="65">
        <v>0</v>
      </c>
      <c r="D12" s="65">
        <v>61131471431</v>
      </c>
      <c r="E12" s="65">
        <v>1457121680624</v>
      </c>
      <c r="F12" s="65">
        <v>6291167287</v>
      </c>
      <c r="G12" s="65">
        <v>13298490161</v>
      </c>
      <c r="H12" s="65">
        <v>10331167287</v>
      </c>
      <c r="I12" s="65">
        <v>43212574213</v>
      </c>
      <c r="J12" s="65">
        <v>3216000000</v>
      </c>
      <c r="K12" s="65">
        <v>0</v>
      </c>
      <c r="L12" s="65">
        <v>0</v>
      </c>
      <c r="M12" s="65">
        <v>0</v>
      </c>
    </row>
    <row r="13" spans="1:19" x14ac:dyDescent="0.25">
      <c r="A13" s="9" t="s">
        <v>1633</v>
      </c>
      <c r="B13" s="65">
        <v>450000000</v>
      </c>
      <c r="C13" s="65">
        <v>0</v>
      </c>
      <c r="D13" s="65">
        <v>34641860000</v>
      </c>
      <c r="E13" s="65">
        <v>0</v>
      </c>
      <c r="F13" s="65">
        <v>3560000000</v>
      </c>
      <c r="G13" s="65">
        <v>0</v>
      </c>
      <c r="H13" s="65">
        <v>3027500000</v>
      </c>
      <c r="I13" s="65">
        <v>0</v>
      </c>
      <c r="J13" s="65">
        <v>1923000000</v>
      </c>
      <c r="K13" s="65">
        <v>0</v>
      </c>
      <c r="L13" s="65">
        <v>0</v>
      </c>
      <c r="M13" s="65">
        <v>0</v>
      </c>
    </row>
    <row r="14" spans="1:19" x14ac:dyDescent="0.25">
      <c r="A14" s="9" t="s">
        <v>1634</v>
      </c>
      <c r="B14" s="65">
        <v>0</v>
      </c>
      <c r="C14" s="65">
        <v>0</v>
      </c>
      <c r="D14" s="65">
        <v>393967000000</v>
      </c>
      <c r="E14" s="65">
        <v>205006000000</v>
      </c>
      <c r="F14" s="65">
        <v>539599936312</v>
      </c>
      <c r="G14" s="65">
        <v>751646700000</v>
      </c>
      <c r="H14" s="65">
        <v>417089968156</v>
      </c>
      <c r="I14" s="65">
        <v>287939050360</v>
      </c>
      <c r="J14" s="65">
        <v>291494968156</v>
      </c>
      <c r="K14" s="65">
        <v>404316863140</v>
      </c>
      <c r="L14" s="65">
        <v>168891968156</v>
      </c>
      <c r="M14" s="65">
        <v>264918343166</v>
      </c>
    </row>
    <row r="15" spans="1:19" x14ac:dyDescent="0.25">
      <c r="A15" s="9" t="s">
        <v>65</v>
      </c>
      <c r="B15" s="65">
        <v>0</v>
      </c>
      <c r="C15" s="65">
        <v>0</v>
      </c>
      <c r="D15" s="65">
        <v>282164589000</v>
      </c>
      <c r="E15" s="65">
        <v>403530000000</v>
      </c>
      <c r="F15" s="65">
        <v>266002028000</v>
      </c>
      <c r="G15" s="65">
        <v>37000000000</v>
      </c>
      <c r="H15" s="65">
        <v>269691028000</v>
      </c>
      <c r="I15" s="65">
        <v>25630000000</v>
      </c>
      <c r="J15" s="65">
        <v>272202028000</v>
      </c>
      <c r="K15" s="65">
        <v>14550000000</v>
      </c>
      <c r="L15" s="65">
        <v>0</v>
      </c>
      <c r="M15" s="65">
        <v>0</v>
      </c>
    </row>
    <row r="16" spans="1:19" x14ac:dyDescent="0.25">
      <c r="A16" s="9" t="s">
        <v>1635</v>
      </c>
      <c r="B16" s="65">
        <v>0</v>
      </c>
      <c r="C16" s="65">
        <v>0</v>
      </c>
      <c r="D16" s="65">
        <v>1600000000</v>
      </c>
      <c r="E16" s="65">
        <v>0</v>
      </c>
      <c r="F16" s="65">
        <v>1200000000</v>
      </c>
      <c r="G16" s="65">
        <v>0</v>
      </c>
      <c r="H16" s="65">
        <v>1600000000</v>
      </c>
      <c r="I16" s="65">
        <v>0</v>
      </c>
      <c r="J16" s="65">
        <v>1000000000</v>
      </c>
      <c r="K16" s="65">
        <v>0</v>
      </c>
      <c r="L16" s="65">
        <v>0</v>
      </c>
      <c r="M16" s="65">
        <v>0</v>
      </c>
    </row>
    <row r="17" spans="1:13" x14ac:dyDescent="0.25">
      <c r="A17" s="9" t="s">
        <v>1636</v>
      </c>
      <c r="B17" s="65">
        <v>500000000</v>
      </c>
      <c r="C17" s="65">
        <v>0</v>
      </c>
      <c r="D17" s="65">
        <v>54212031000</v>
      </c>
      <c r="E17" s="65">
        <v>0</v>
      </c>
      <c r="F17" s="65">
        <v>48790000000</v>
      </c>
      <c r="G17" s="65">
        <v>0</v>
      </c>
      <c r="H17" s="65">
        <v>53600000000</v>
      </c>
      <c r="I17" s="65">
        <v>0</v>
      </c>
      <c r="J17" s="65">
        <v>47930000000</v>
      </c>
      <c r="K17" s="65">
        <v>0</v>
      </c>
      <c r="L17" s="65">
        <v>22160000000</v>
      </c>
      <c r="M17" s="65">
        <v>0</v>
      </c>
    </row>
    <row r="18" spans="1:13" x14ac:dyDescent="0.25">
      <c r="A18" s="9" t="s">
        <v>1637</v>
      </c>
      <c r="B18" s="65">
        <v>44500000000</v>
      </c>
      <c r="C18" s="65">
        <v>0</v>
      </c>
      <c r="D18" s="65">
        <v>519891000000</v>
      </c>
      <c r="E18" s="65">
        <v>137568815468</v>
      </c>
      <c r="F18" s="65">
        <v>213337100000</v>
      </c>
      <c r="G18" s="65">
        <v>11319098000</v>
      </c>
      <c r="H18" s="65">
        <v>287716410000</v>
      </c>
      <c r="I18" s="65">
        <v>2177875000</v>
      </c>
      <c r="J18" s="65">
        <v>7055000000</v>
      </c>
      <c r="K18" s="65">
        <v>0</v>
      </c>
      <c r="L18" s="65">
        <v>5993000000</v>
      </c>
      <c r="M18" s="65">
        <v>0</v>
      </c>
    </row>
    <row r="19" spans="1:13" x14ac:dyDescent="0.25">
      <c r="A19" s="9" t="s">
        <v>1638</v>
      </c>
      <c r="B19" s="65">
        <v>315083015356</v>
      </c>
      <c r="C19" s="65">
        <v>0</v>
      </c>
      <c r="D19" s="65">
        <v>1795281705264</v>
      </c>
      <c r="E19" s="65">
        <v>1649754621490</v>
      </c>
      <c r="F19" s="65">
        <v>510430541808</v>
      </c>
      <c r="G19" s="65">
        <v>1111350000000</v>
      </c>
      <c r="H19" s="65">
        <v>183790700000</v>
      </c>
      <c r="I19" s="65">
        <v>676680000000</v>
      </c>
      <c r="J19" s="65">
        <v>40000000000</v>
      </c>
      <c r="K19" s="65">
        <v>39000000000</v>
      </c>
      <c r="L19" s="65">
        <v>0</v>
      </c>
      <c r="M19" s="65">
        <v>0</v>
      </c>
    </row>
    <row r="20" spans="1:13" x14ac:dyDescent="0.25">
      <c r="A20" s="9" t="s">
        <v>1639</v>
      </c>
      <c r="B20" s="65">
        <v>60000000</v>
      </c>
      <c r="C20" s="65">
        <v>0</v>
      </c>
      <c r="D20" s="65">
        <v>4744000000</v>
      </c>
      <c r="E20" s="65">
        <v>0</v>
      </c>
      <c r="F20" s="65">
        <v>4192000000</v>
      </c>
      <c r="G20" s="65">
        <v>0</v>
      </c>
      <c r="H20" s="65">
        <v>2551000000</v>
      </c>
      <c r="I20" s="65">
        <v>0</v>
      </c>
      <c r="J20" s="65">
        <v>2873000000</v>
      </c>
      <c r="K20" s="65">
        <v>0</v>
      </c>
      <c r="L20" s="65">
        <v>0</v>
      </c>
      <c r="M20" s="65">
        <v>0</v>
      </c>
    </row>
    <row r="21" spans="1:13" x14ac:dyDescent="0.25">
      <c r="A21" s="9" t="s">
        <v>1640</v>
      </c>
      <c r="B21" s="65">
        <v>0</v>
      </c>
      <c r="C21" s="65">
        <v>0</v>
      </c>
      <c r="D21" s="65">
        <v>231140000000</v>
      </c>
      <c r="E21" s="65">
        <v>464630000000</v>
      </c>
      <c r="F21" s="65">
        <v>128140000000</v>
      </c>
      <c r="G21" s="65">
        <v>3700000000</v>
      </c>
      <c r="H21" s="65">
        <v>0</v>
      </c>
      <c r="I21" s="65">
        <v>0</v>
      </c>
      <c r="J21" s="65">
        <v>0</v>
      </c>
      <c r="K21" s="65">
        <v>0</v>
      </c>
      <c r="L21" s="65">
        <v>0</v>
      </c>
      <c r="M21" s="65">
        <v>0</v>
      </c>
    </row>
    <row r="22" spans="1:13" x14ac:dyDescent="0.25">
      <c r="A22" s="9" t="s">
        <v>1641</v>
      </c>
      <c r="B22" s="65">
        <v>5288675782</v>
      </c>
      <c r="C22" s="65">
        <v>0</v>
      </c>
      <c r="D22" s="65">
        <v>13381891564</v>
      </c>
      <c r="E22" s="65">
        <v>0</v>
      </c>
      <c r="F22" s="65">
        <v>1631121000</v>
      </c>
      <c r="G22" s="65">
        <v>0</v>
      </c>
      <c r="H22" s="65">
        <v>1658770000</v>
      </c>
      <c r="I22" s="65">
        <v>0</v>
      </c>
      <c r="J22" s="65">
        <v>1666800000</v>
      </c>
      <c r="K22" s="65">
        <v>0</v>
      </c>
      <c r="L22" s="65">
        <v>0</v>
      </c>
      <c r="M22" s="65">
        <v>0</v>
      </c>
    </row>
    <row r="23" spans="1:13" x14ac:dyDescent="0.25">
      <c r="A23" s="9" t="s">
        <v>1642</v>
      </c>
      <c r="B23" s="65">
        <v>0</v>
      </c>
      <c r="C23" s="65">
        <v>0</v>
      </c>
      <c r="D23" s="65">
        <v>11652915228</v>
      </c>
      <c r="E23" s="65">
        <v>0</v>
      </c>
      <c r="F23" s="65">
        <v>11652915228</v>
      </c>
      <c r="G23" s="65">
        <v>0</v>
      </c>
      <c r="H23" s="65">
        <v>11652915228</v>
      </c>
      <c r="I23" s="65">
        <v>0</v>
      </c>
      <c r="J23" s="65">
        <v>11652915228</v>
      </c>
      <c r="K23" s="65">
        <v>0</v>
      </c>
      <c r="L23" s="65">
        <v>0</v>
      </c>
      <c r="M23" s="65">
        <v>0</v>
      </c>
    </row>
    <row r="24" spans="1:13" x14ac:dyDescent="0.25">
      <c r="A24" s="9" t="s">
        <v>1643</v>
      </c>
      <c r="B24" s="65">
        <v>0</v>
      </c>
      <c r="C24" s="65">
        <v>0</v>
      </c>
      <c r="D24" s="65">
        <v>2263000000</v>
      </c>
      <c r="E24" s="65">
        <v>0</v>
      </c>
      <c r="F24" s="65">
        <v>2219000280</v>
      </c>
      <c r="G24" s="65">
        <v>0</v>
      </c>
      <c r="H24" s="65">
        <v>1569000000</v>
      </c>
      <c r="I24" s="65">
        <v>0</v>
      </c>
      <c r="J24" s="65">
        <v>1159000000</v>
      </c>
      <c r="K24" s="65">
        <v>0</v>
      </c>
      <c r="L24" s="65">
        <v>0</v>
      </c>
      <c r="M24" s="65">
        <v>0</v>
      </c>
    </row>
    <row r="25" spans="1:13" x14ac:dyDescent="0.25">
      <c r="A25" s="9" t="s">
        <v>1644</v>
      </c>
      <c r="B25" s="65">
        <v>0</v>
      </c>
      <c r="C25" s="65">
        <v>0</v>
      </c>
      <c r="D25" s="65">
        <v>18850000000</v>
      </c>
      <c r="E25" s="65">
        <v>0</v>
      </c>
      <c r="F25" s="65">
        <v>14985000000</v>
      </c>
      <c r="G25" s="65">
        <v>0</v>
      </c>
      <c r="H25" s="65">
        <v>10550000000</v>
      </c>
      <c r="I25" s="65">
        <v>0</v>
      </c>
      <c r="J25" s="65">
        <v>2065000000</v>
      </c>
      <c r="K25" s="65">
        <v>0</v>
      </c>
      <c r="L25" s="65">
        <v>0</v>
      </c>
      <c r="M25" s="65">
        <v>0</v>
      </c>
    </row>
    <row r="26" spans="1:13" x14ac:dyDescent="0.25">
      <c r="A26" s="9" t="s">
        <v>1922</v>
      </c>
      <c r="B26" s="65">
        <v>0</v>
      </c>
      <c r="C26" s="65">
        <v>0</v>
      </c>
      <c r="D26" s="65">
        <v>174692082000</v>
      </c>
      <c r="E26" s="65">
        <v>0</v>
      </c>
      <c r="F26" s="65">
        <v>115613561000</v>
      </c>
      <c r="G26" s="65">
        <v>0</v>
      </c>
      <c r="H26" s="65">
        <v>141889131500</v>
      </c>
      <c r="I26" s="65">
        <v>0</v>
      </c>
      <c r="J26" s="65">
        <v>140114037500</v>
      </c>
      <c r="K26" s="65">
        <v>0</v>
      </c>
      <c r="L26" s="65">
        <v>0</v>
      </c>
      <c r="M26" s="65">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7"/>
  <sheetViews>
    <sheetView zoomScale="80" zoomScaleNormal="80" workbookViewId="0">
      <pane ySplit="3" topLeftCell="A4" activePane="bottomLeft" state="frozen"/>
      <selection pane="bottomLeft" activeCell="I26" sqref="I26"/>
    </sheetView>
  </sheetViews>
  <sheetFormatPr defaultColWidth="15.5703125" defaultRowHeight="15" x14ac:dyDescent="0.25"/>
  <cols>
    <col min="1" max="1" width="64.140625" style="67" customWidth="1"/>
    <col min="2" max="2" width="11.5703125" customWidth="1"/>
    <col min="3" max="3" width="21.140625" customWidth="1"/>
    <col min="4" max="7" width="12.85546875" customWidth="1"/>
    <col min="8" max="8" width="12.85546875" bestFit="1" customWidth="1"/>
    <col min="9" max="9" width="16.7109375" bestFit="1" customWidth="1"/>
    <col min="10" max="10" width="12.85546875" bestFit="1" customWidth="1"/>
    <col min="11" max="11" width="16.7109375" bestFit="1" customWidth="1"/>
    <col min="12" max="12" width="12.85546875" customWidth="1"/>
    <col min="13" max="13" width="16.7109375" bestFit="1" customWidth="1"/>
  </cols>
  <sheetData>
    <row r="2" spans="1:19" x14ac:dyDescent="0.25">
      <c r="A2" s="79" t="s">
        <v>1507</v>
      </c>
    </row>
    <row r="3" spans="1:19" s="68" customFormat="1" ht="30.95" customHeight="1" x14ac:dyDescent="0.25">
      <c r="A3" s="68" t="s">
        <v>1291</v>
      </c>
      <c r="B3" s="82" t="s">
        <v>1499</v>
      </c>
      <c r="C3" s="83" t="s">
        <v>1506</v>
      </c>
      <c r="D3" s="70" t="s">
        <v>1500</v>
      </c>
      <c r="E3" s="71" t="s">
        <v>1501</v>
      </c>
      <c r="F3" s="70" t="s">
        <v>1502</v>
      </c>
      <c r="G3" s="71" t="s">
        <v>1503</v>
      </c>
      <c r="H3" s="69"/>
      <c r="I3" s="69"/>
      <c r="J3" s="69"/>
      <c r="K3" s="69"/>
      <c r="L3" s="69"/>
      <c r="M3" s="69"/>
      <c r="N3" s="69"/>
      <c r="O3" s="69"/>
      <c r="P3" s="69"/>
      <c r="Q3" s="69"/>
      <c r="R3" s="69"/>
      <c r="S3" s="69"/>
    </row>
    <row r="4" spans="1:19" s="68" customFormat="1" x14ac:dyDescent="0.25">
      <c r="A4" s="80" t="s">
        <v>0</v>
      </c>
      <c r="B4" s="65">
        <v>0</v>
      </c>
      <c r="C4" s="65">
        <v>568788000000</v>
      </c>
      <c r="D4" s="65">
        <v>5291300000</v>
      </c>
      <c r="E4" s="65">
        <v>2905800000</v>
      </c>
      <c r="F4" s="65">
        <v>1788400000</v>
      </c>
      <c r="G4" s="65"/>
      <c r="H4"/>
      <c r="I4"/>
      <c r="J4"/>
      <c r="K4"/>
      <c r="L4"/>
      <c r="M4"/>
      <c r="N4" s="69"/>
      <c r="O4" s="69"/>
      <c r="P4" s="69"/>
      <c r="Q4" s="69"/>
      <c r="R4" s="69"/>
      <c r="S4" s="69"/>
    </row>
    <row r="5" spans="1:19" s="68" customFormat="1" x14ac:dyDescent="0.25">
      <c r="A5" s="81" t="s">
        <v>19</v>
      </c>
      <c r="B5" s="65">
        <v>0</v>
      </c>
      <c r="C5" s="65">
        <v>2060000000</v>
      </c>
      <c r="D5" s="65">
        <v>5291300000</v>
      </c>
      <c r="E5" s="65">
        <v>2905800000</v>
      </c>
      <c r="F5" s="65">
        <v>1788400000</v>
      </c>
      <c r="G5" s="65"/>
      <c r="H5"/>
      <c r="I5"/>
      <c r="J5"/>
      <c r="K5"/>
      <c r="L5"/>
      <c r="M5"/>
      <c r="N5" s="69"/>
      <c r="O5" s="69"/>
      <c r="P5" s="69"/>
      <c r="Q5" s="69"/>
      <c r="R5" s="69"/>
      <c r="S5" s="69"/>
    </row>
    <row r="6" spans="1:19" x14ac:dyDescent="0.25">
      <c r="A6" s="81" t="s">
        <v>25</v>
      </c>
      <c r="B6" s="65">
        <v>0</v>
      </c>
      <c r="C6" s="65">
        <v>566728000000</v>
      </c>
      <c r="D6" s="65"/>
      <c r="E6" s="65"/>
      <c r="F6" s="65"/>
      <c r="G6" s="65"/>
    </row>
    <row r="7" spans="1:19" x14ac:dyDescent="0.25">
      <c r="A7" s="80" t="s">
        <v>957</v>
      </c>
      <c r="B7" s="65">
        <v>0</v>
      </c>
      <c r="C7" s="65">
        <v>237367716167</v>
      </c>
      <c r="D7" s="65">
        <v>9288000000</v>
      </c>
      <c r="E7" s="65">
        <v>9417000000</v>
      </c>
      <c r="F7" s="65">
        <v>7055000000</v>
      </c>
      <c r="G7" s="65"/>
    </row>
    <row r="8" spans="1:19" x14ac:dyDescent="0.25">
      <c r="A8" s="81" t="s">
        <v>19</v>
      </c>
      <c r="B8" s="65">
        <v>0</v>
      </c>
      <c r="C8" s="65">
        <v>209417716167</v>
      </c>
      <c r="D8" s="65">
        <v>9288000000</v>
      </c>
      <c r="E8" s="65">
        <v>9417000000</v>
      </c>
      <c r="F8" s="65">
        <v>7055000000</v>
      </c>
      <c r="G8" s="65"/>
    </row>
    <row r="9" spans="1:19" x14ac:dyDescent="0.25">
      <c r="A9" s="81" t="s">
        <v>25</v>
      </c>
      <c r="B9" s="65">
        <v>0</v>
      </c>
      <c r="C9" s="65">
        <v>27950000000</v>
      </c>
      <c r="D9" s="65">
        <v>0</v>
      </c>
      <c r="E9" s="65">
        <v>0</v>
      </c>
      <c r="F9" s="65">
        <v>0</v>
      </c>
      <c r="G9" s="65"/>
    </row>
    <row r="10" spans="1:19" x14ac:dyDescent="0.25">
      <c r="A10" s="80" t="s">
        <v>1184</v>
      </c>
      <c r="B10" s="65">
        <v>0</v>
      </c>
      <c r="C10" s="65">
        <v>12651298282</v>
      </c>
      <c r="D10" s="65">
        <v>8900000000</v>
      </c>
      <c r="E10" s="65">
        <v>8400000000</v>
      </c>
      <c r="F10" s="65">
        <v>7900000000</v>
      </c>
      <c r="G10" s="65"/>
    </row>
    <row r="11" spans="1:19" x14ac:dyDescent="0.25">
      <c r="A11" s="81" t="s">
        <v>19</v>
      </c>
      <c r="B11" s="65">
        <v>0</v>
      </c>
      <c r="C11" s="65">
        <v>12651298282</v>
      </c>
      <c r="D11" s="65">
        <v>8900000000</v>
      </c>
      <c r="E11" s="65">
        <v>8400000000</v>
      </c>
      <c r="F11" s="65">
        <v>7900000000</v>
      </c>
      <c r="G11" s="65"/>
    </row>
    <row r="12" spans="1:19" x14ac:dyDescent="0.25">
      <c r="A12" s="80" t="s">
        <v>932</v>
      </c>
      <c r="B12" s="65">
        <v>0</v>
      </c>
      <c r="C12" s="65">
        <v>209745944339</v>
      </c>
      <c r="D12" s="65">
        <v>78019873757</v>
      </c>
      <c r="E12" s="65">
        <v>31379053757</v>
      </c>
      <c r="F12" s="65">
        <v>32186233757</v>
      </c>
      <c r="G12" s="65">
        <v>10478515838</v>
      </c>
    </row>
    <row r="13" spans="1:19" x14ac:dyDescent="0.25">
      <c r="A13" s="81" t="s">
        <v>19</v>
      </c>
      <c r="B13" s="65">
        <v>0</v>
      </c>
      <c r="C13" s="65">
        <v>52670621739</v>
      </c>
      <c r="D13" s="65">
        <v>34219873757</v>
      </c>
      <c r="E13" s="65">
        <v>31379053757</v>
      </c>
      <c r="F13" s="65">
        <v>32186233757</v>
      </c>
      <c r="G13" s="65">
        <v>10478515838</v>
      </c>
    </row>
    <row r="14" spans="1:19" x14ac:dyDescent="0.25">
      <c r="A14" s="81" t="s">
        <v>25</v>
      </c>
      <c r="B14" s="65">
        <v>0</v>
      </c>
      <c r="C14" s="65">
        <v>157075322600</v>
      </c>
      <c r="D14" s="65">
        <v>43800000000</v>
      </c>
      <c r="E14" s="65">
        <v>0</v>
      </c>
      <c r="F14" s="65">
        <v>0</v>
      </c>
      <c r="G14" s="65"/>
    </row>
    <row r="15" spans="1:19" x14ac:dyDescent="0.25">
      <c r="A15" s="80" t="s">
        <v>1106</v>
      </c>
      <c r="B15" s="65"/>
      <c r="C15" s="65">
        <v>125844000000</v>
      </c>
      <c r="D15" s="65">
        <v>89490000000</v>
      </c>
      <c r="E15" s="65">
        <v>4000000000</v>
      </c>
      <c r="F15" s="65">
        <v>4000000000</v>
      </c>
      <c r="G15" s="65">
        <v>0</v>
      </c>
    </row>
    <row r="16" spans="1:19" x14ac:dyDescent="0.25">
      <c r="A16" s="81" t="s">
        <v>19</v>
      </c>
      <c r="B16" s="65"/>
      <c r="C16" s="65">
        <v>8920000000</v>
      </c>
      <c r="D16" s="65">
        <v>7480000000</v>
      </c>
      <c r="E16" s="65">
        <v>4000000000</v>
      </c>
      <c r="F16" s="65">
        <v>4000000000</v>
      </c>
      <c r="G16" s="65">
        <v>0</v>
      </c>
    </row>
    <row r="17" spans="1:7" x14ac:dyDescent="0.25">
      <c r="A17" s="81" t="s">
        <v>25</v>
      </c>
      <c r="B17" s="65"/>
      <c r="C17" s="65">
        <v>116924000000</v>
      </c>
      <c r="D17" s="65">
        <v>82010000000</v>
      </c>
      <c r="E17" s="65">
        <v>0</v>
      </c>
      <c r="F17" s="65">
        <v>0</v>
      </c>
      <c r="G17" s="65"/>
    </row>
    <row r="18" spans="1:7" x14ac:dyDescent="0.25">
      <c r="A18" s="80" t="s">
        <v>961</v>
      </c>
      <c r="B18" s="65">
        <v>12063278594</v>
      </c>
      <c r="C18" s="65">
        <v>249785274889</v>
      </c>
      <c r="D18" s="65">
        <v>137450000000</v>
      </c>
      <c r="E18" s="65">
        <v>266760000000</v>
      </c>
      <c r="F18" s="65">
        <v>223550000000</v>
      </c>
      <c r="G18" s="65">
        <v>0</v>
      </c>
    </row>
    <row r="19" spans="1:7" x14ac:dyDescent="0.25">
      <c r="A19" s="81" t="s">
        <v>19</v>
      </c>
      <c r="B19" s="65">
        <v>12063278594</v>
      </c>
      <c r="C19" s="65">
        <v>59102034889</v>
      </c>
      <c r="D19" s="65">
        <v>12050000000</v>
      </c>
      <c r="E19" s="65">
        <v>46970000000</v>
      </c>
      <c r="F19" s="65">
        <v>37850000000</v>
      </c>
      <c r="G19" s="65">
        <v>0</v>
      </c>
    </row>
    <row r="20" spans="1:7" x14ac:dyDescent="0.25">
      <c r="A20" s="81" t="s">
        <v>25</v>
      </c>
      <c r="B20" s="65">
        <v>0</v>
      </c>
      <c r="C20" s="65">
        <v>190683240000</v>
      </c>
      <c r="D20" s="65">
        <v>125400000000</v>
      </c>
      <c r="E20" s="65">
        <v>219790000000</v>
      </c>
      <c r="F20" s="65">
        <v>185700000000</v>
      </c>
      <c r="G20" s="65">
        <v>0</v>
      </c>
    </row>
    <row r="21" spans="1:7" x14ac:dyDescent="0.25">
      <c r="A21" s="80" t="s">
        <v>97</v>
      </c>
      <c r="B21" s="65">
        <v>154498413</v>
      </c>
      <c r="C21" s="65">
        <v>1518253152055</v>
      </c>
      <c r="D21" s="65">
        <v>19589657448</v>
      </c>
      <c r="E21" s="65">
        <v>53543741500</v>
      </c>
      <c r="F21" s="65">
        <v>3216000000</v>
      </c>
      <c r="G21" s="65">
        <v>0</v>
      </c>
    </row>
    <row r="22" spans="1:7" x14ac:dyDescent="0.25">
      <c r="A22" s="81" t="s">
        <v>19</v>
      </c>
      <c r="B22" s="65">
        <v>154498413</v>
      </c>
      <c r="C22" s="65">
        <v>61131471431</v>
      </c>
      <c r="D22" s="65">
        <v>6291167287</v>
      </c>
      <c r="E22" s="65">
        <v>10331167287</v>
      </c>
      <c r="F22" s="65">
        <v>3216000000</v>
      </c>
      <c r="G22" s="65">
        <v>0</v>
      </c>
    </row>
    <row r="23" spans="1:7" x14ac:dyDescent="0.25">
      <c r="A23" s="81" t="s">
        <v>25</v>
      </c>
      <c r="B23" s="65">
        <v>0</v>
      </c>
      <c r="C23" s="65">
        <v>1457121680624</v>
      </c>
      <c r="D23" s="65">
        <v>13298490161</v>
      </c>
      <c r="E23" s="65">
        <v>43212574213</v>
      </c>
      <c r="F23" s="65">
        <v>0</v>
      </c>
      <c r="G23" s="65">
        <v>0</v>
      </c>
    </row>
    <row r="24" spans="1:7" x14ac:dyDescent="0.25">
      <c r="A24" s="80" t="s">
        <v>98</v>
      </c>
      <c r="B24" s="65">
        <v>450000000</v>
      </c>
      <c r="C24" s="65">
        <v>34641860000</v>
      </c>
      <c r="D24" s="65">
        <v>3560000000</v>
      </c>
      <c r="E24" s="65">
        <v>3027500000</v>
      </c>
      <c r="F24" s="65">
        <v>1923000000</v>
      </c>
      <c r="G24" s="65">
        <v>0</v>
      </c>
    </row>
    <row r="25" spans="1:7" x14ac:dyDescent="0.25">
      <c r="A25" s="81" t="s">
        <v>19</v>
      </c>
      <c r="B25" s="65">
        <v>450000000</v>
      </c>
      <c r="C25" s="65">
        <v>34641860000</v>
      </c>
      <c r="D25" s="65">
        <v>3560000000</v>
      </c>
      <c r="E25" s="65">
        <v>3027500000</v>
      </c>
      <c r="F25" s="65">
        <v>1923000000</v>
      </c>
      <c r="G25" s="65">
        <v>0</v>
      </c>
    </row>
    <row r="26" spans="1:7" x14ac:dyDescent="0.25">
      <c r="A26" s="80" t="s">
        <v>99</v>
      </c>
      <c r="B26" s="65">
        <v>0</v>
      </c>
      <c r="C26" s="65">
        <v>598973000000</v>
      </c>
      <c r="D26" s="65">
        <v>1291246636312</v>
      </c>
      <c r="E26" s="65">
        <v>705029018516</v>
      </c>
      <c r="F26" s="65">
        <v>695811831296</v>
      </c>
      <c r="G26" s="65">
        <v>433810311322</v>
      </c>
    </row>
    <row r="27" spans="1:7" x14ac:dyDescent="0.25">
      <c r="A27" s="81" t="s">
        <v>19</v>
      </c>
      <c r="B27" s="65">
        <v>0</v>
      </c>
      <c r="C27" s="65">
        <v>393967000000</v>
      </c>
      <c r="D27" s="65">
        <v>539599936312</v>
      </c>
      <c r="E27" s="65">
        <v>417089968156</v>
      </c>
      <c r="F27" s="65">
        <v>291494968156</v>
      </c>
      <c r="G27" s="65">
        <v>168891968156</v>
      </c>
    </row>
    <row r="28" spans="1:7" x14ac:dyDescent="0.25">
      <c r="A28" s="81" t="s">
        <v>25</v>
      </c>
      <c r="B28" s="65"/>
      <c r="C28" s="65">
        <v>205006000000</v>
      </c>
      <c r="D28" s="65">
        <v>751646700000</v>
      </c>
      <c r="E28" s="65">
        <v>287939050360</v>
      </c>
      <c r="F28" s="65">
        <v>404316863140</v>
      </c>
      <c r="G28" s="65">
        <v>264918343166</v>
      </c>
    </row>
    <row r="29" spans="1:7" x14ac:dyDescent="0.25">
      <c r="A29" s="80" t="s">
        <v>66</v>
      </c>
      <c r="B29" s="65">
        <v>0</v>
      </c>
      <c r="C29" s="65">
        <v>685694589000</v>
      </c>
      <c r="D29" s="65">
        <v>303002028000</v>
      </c>
      <c r="E29" s="65">
        <v>295321028000</v>
      </c>
      <c r="F29" s="65">
        <v>286752028000</v>
      </c>
      <c r="G29" s="65">
        <v>0</v>
      </c>
    </row>
    <row r="30" spans="1:7" x14ac:dyDescent="0.25">
      <c r="A30" s="81" t="s">
        <v>19</v>
      </c>
      <c r="B30" s="65">
        <v>0</v>
      </c>
      <c r="C30" s="65">
        <v>282164589000</v>
      </c>
      <c r="D30" s="65">
        <v>266002028000</v>
      </c>
      <c r="E30" s="65">
        <v>269691028000</v>
      </c>
      <c r="F30" s="65">
        <v>272202028000</v>
      </c>
      <c r="G30" s="65">
        <v>0</v>
      </c>
    </row>
    <row r="31" spans="1:7" x14ac:dyDescent="0.25">
      <c r="A31" s="81" t="s">
        <v>25</v>
      </c>
      <c r="B31" s="65">
        <v>0</v>
      </c>
      <c r="C31" s="65">
        <v>403530000000</v>
      </c>
      <c r="D31" s="65">
        <v>37000000000</v>
      </c>
      <c r="E31" s="65">
        <v>25630000000</v>
      </c>
      <c r="F31" s="65">
        <v>14550000000</v>
      </c>
      <c r="G31" s="65">
        <v>0</v>
      </c>
    </row>
    <row r="32" spans="1:7" x14ac:dyDescent="0.25">
      <c r="A32" s="80" t="s">
        <v>69</v>
      </c>
      <c r="B32" s="65">
        <v>0</v>
      </c>
      <c r="C32" s="65">
        <v>1600000000</v>
      </c>
      <c r="D32" s="65">
        <v>1200000000</v>
      </c>
      <c r="E32" s="65">
        <v>1600000000</v>
      </c>
      <c r="F32" s="65">
        <v>1000000000</v>
      </c>
      <c r="G32" s="65"/>
    </row>
    <row r="33" spans="1:7" x14ac:dyDescent="0.25">
      <c r="A33" s="81" t="s">
        <v>19</v>
      </c>
      <c r="B33" s="65">
        <v>0</v>
      </c>
      <c r="C33" s="65">
        <v>1600000000</v>
      </c>
      <c r="D33" s="65">
        <v>1200000000</v>
      </c>
      <c r="E33" s="65">
        <v>1600000000</v>
      </c>
      <c r="F33" s="65">
        <v>1000000000</v>
      </c>
      <c r="G33" s="65"/>
    </row>
    <row r="34" spans="1:7" x14ac:dyDescent="0.25">
      <c r="A34" s="80" t="s">
        <v>71</v>
      </c>
      <c r="B34" s="65">
        <v>500000000</v>
      </c>
      <c r="C34" s="65">
        <v>54212031000</v>
      </c>
      <c r="D34" s="65">
        <v>48790000000</v>
      </c>
      <c r="E34" s="65">
        <v>53600000000</v>
      </c>
      <c r="F34" s="65">
        <v>47930000000</v>
      </c>
      <c r="G34" s="65">
        <v>22160000000</v>
      </c>
    </row>
    <row r="35" spans="1:7" x14ac:dyDescent="0.25">
      <c r="A35" s="81" t="s">
        <v>19</v>
      </c>
      <c r="B35" s="65">
        <v>500000000</v>
      </c>
      <c r="C35" s="65">
        <v>54212031000</v>
      </c>
      <c r="D35" s="65">
        <v>48790000000</v>
      </c>
      <c r="E35" s="65">
        <v>53600000000</v>
      </c>
      <c r="F35" s="65">
        <v>47930000000</v>
      </c>
      <c r="G35" s="65">
        <v>22160000000</v>
      </c>
    </row>
    <row r="36" spans="1:7" x14ac:dyDescent="0.25">
      <c r="A36" s="80" t="s">
        <v>72</v>
      </c>
      <c r="B36" s="65">
        <v>44500000000</v>
      </c>
      <c r="C36" s="65">
        <v>657459815468</v>
      </c>
      <c r="D36" s="65">
        <v>224656198000</v>
      </c>
      <c r="E36" s="65">
        <v>289894285000</v>
      </c>
      <c r="F36" s="65">
        <v>7055000000</v>
      </c>
      <c r="G36" s="65">
        <v>5993000000</v>
      </c>
    </row>
    <row r="37" spans="1:7" x14ac:dyDescent="0.25">
      <c r="A37" s="81" t="s">
        <v>19</v>
      </c>
      <c r="B37" s="65">
        <v>44500000000</v>
      </c>
      <c r="C37" s="65">
        <v>519891000000</v>
      </c>
      <c r="D37" s="65">
        <v>213337100000</v>
      </c>
      <c r="E37" s="65">
        <v>287716410000</v>
      </c>
      <c r="F37" s="65">
        <v>7055000000</v>
      </c>
      <c r="G37" s="65">
        <v>5993000000</v>
      </c>
    </row>
    <row r="38" spans="1:7" x14ac:dyDescent="0.25">
      <c r="A38" s="81" t="s">
        <v>25</v>
      </c>
      <c r="B38" s="65">
        <v>0</v>
      </c>
      <c r="C38" s="65">
        <v>137568815468</v>
      </c>
      <c r="D38" s="65">
        <v>11319098000</v>
      </c>
      <c r="E38" s="65">
        <v>2177875000</v>
      </c>
      <c r="F38" s="65">
        <v>0</v>
      </c>
      <c r="G38" s="65"/>
    </row>
    <row r="39" spans="1:7" x14ac:dyDescent="0.25">
      <c r="A39" s="80" t="s">
        <v>113</v>
      </c>
      <c r="B39" s="65">
        <v>315083015356</v>
      </c>
      <c r="C39" s="65">
        <v>3445036326754</v>
      </c>
      <c r="D39" s="65">
        <v>1621780541808</v>
      </c>
      <c r="E39" s="65">
        <v>860470700000</v>
      </c>
      <c r="F39" s="65">
        <v>79000000000</v>
      </c>
      <c r="G39" s="65"/>
    </row>
    <row r="40" spans="1:7" x14ac:dyDescent="0.25">
      <c r="A40" s="81" t="s">
        <v>19</v>
      </c>
      <c r="B40" s="65">
        <v>315083015356</v>
      </c>
      <c r="C40" s="65">
        <v>1795281705264</v>
      </c>
      <c r="D40" s="65">
        <v>510430541808</v>
      </c>
      <c r="E40" s="65">
        <v>183790700000</v>
      </c>
      <c r="F40" s="65">
        <v>40000000000</v>
      </c>
      <c r="G40" s="65"/>
    </row>
    <row r="41" spans="1:7" x14ac:dyDescent="0.25">
      <c r="A41" s="81" t="s">
        <v>25</v>
      </c>
      <c r="B41" s="65">
        <v>0</v>
      </c>
      <c r="C41" s="65">
        <v>1649754621490</v>
      </c>
      <c r="D41" s="65">
        <v>1111350000000</v>
      </c>
      <c r="E41" s="65">
        <v>676680000000</v>
      </c>
      <c r="F41" s="65">
        <v>39000000000</v>
      </c>
      <c r="G41" s="65"/>
    </row>
    <row r="42" spans="1:7" x14ac:dyDescent="0.25">
      <c r="A42" s="80" t="s">
        <v>117</v>
      </c>
      <c r="B42" s="65">
        <v>60000000</v>
      </c>
      <c r="C42" s="65">
        <v>4744000000</v>
      </c>
      <c r="D42" s="65">
        <v>4192000000</v>
      </c>
      <c r="E42" s="65">
        <v>2551000000</v>
      </c>
      <c r="F42" s="65">
        <v>2873000000</v>
      </c>
      <c r="G42" s="65">
        <v>0</v>
      </c>
    </row>
    <row r="43" spans="1:7" x14ac:dyDescent="0.25">
      <c r="A43" s="81" t="s">
        <v>19</v>
      </c>
      <c r="B43" s="65">
        <v>60000000</v>
      </c>
      <c r="C43" s="65">
        <v>4744000000</v>
      </c>
      <c r="D43" s="65">
        <v>4192000000</v>
      </c>
      <c r="E43" s="65">
        <v>2551000000</v>
      </c>
      <c r="F43" s="65">
        <v>2873000000</v>
      </c>
      <c r="G43" s="65">
        <v>0</v>
      </c>
    </row>
    <row r="44" spans="1:7" x14ac:dyDescent="0.25">
      <c r="A44" s="80" t="s">
        <v>123</v>
      </c>
      <c r="B44" s="65">
        <v>0</v>
      </c>
      <c r="C44" s="65">
        <v>695770000000</v>
      </c>
      <c r="D44" s="65">
        <v>131840000000</v>
      </c>
      <c r="E44" s="65">
        <v>0</v>
      </c>
      <c r="F44" s="65">
        <v>0</v>
      </c>
      <c r="G44" s="65"/>
    </row>
    <row r="45" spans="1:7" x14ac:dyDescent="0.25">
      <c r="A45" s="81" t="s">
        <v>19</v>
      </c>
      <c r="B45" s="65">
        <v>0</v>
      </c>
      <c r="C45" s="65">
        <v>231140000000</v>
      </c>
      <c r="D45" s="65">
        <v>128140000000</v>
      </c>
      <c r="E45" s="65">
        <v>0</v>
      </c>
      <c r="F45" s="65">
        <v>0</v>
      </c>
      <c r="G45" s="65"/>
    </row>
    <row r="46" spans="1:7" x14ac:dyDescent="0.25">
      <c r="A46" s="81" t="s">
        <v>25</v>
      </c>
      <c r="B46" s="65">
        <v>0</v>
      </c>
      <c r="C46" s="65">
        <v>464630000000</v>
      </c>
      <c r="D46" s="65">
        <v>3700000000</v>
      </c>
      <c r="E46" s="65">
        <v>0</v>
      </c>
      <c r="F46" s="65">
        <v>0</v>
      </c>
      <c r="G46" s="65"/>
    </row>
    <row r="47" spans="1:7" x14ac:dyDescent="0.25">
      <c r="A47" s="80" t="s">
        <v>137</v>
      </c>
      <c r="B47" s="65">
        <v>5288675782</v>
      </c>
      <c r="C47" s="65">
        <v>13381891564</v>
      </c>
      <c r="D47" s="65">
        <v>1631121000</v>
      </c>
      <c r="E47" s="65">
        <v>1658770000</v>
      </c>
      <c r="F47" s="65">
        <v>1666800000</v>
      </c>
      <c r="G47" s="65">
        <v>0</v>
      </c>
    </row>
    <row r="48" spans="1:7" x14ac:dyDescent="0.25">
      <c r="A48" s="81" t="s">
        <v>19</v>
      </c>
      <c r="B48" s="65">
        <v>5288675782</v>
      </c>
      <c r="C48" s="65">
        <v>13381891564</v>
      </c>
      <c r="D48" s="65">
        <v>1631121000</v>
      </c>
      <c r="E48" s="65">
        <v>1658770000</v>
      </c>
      <c r="F48" s="65">
        <v>1666800000</v>
      </c>
      <c r="G48" s="65">
        <v>0</v>
      </c>
    </row>
    <row r="49" spans="1:7" x14ac:dyDescent="0.25">
      <c r="A49" s="80" t="s">
        <v>154</v>
      </c>
      <c r="B49" s="65">
        <v>0</v>
      </c>
      <c r="C49" s="65">
        <v>11652915228</v>
      </c>
      <c r="D49" s="65">
        <v>11652915228</v>
      </c>
      <c r="E49" s="65">
        <v>11652915228</v>
      </c>
      <c r="F49" s="65">
        <v>11652915228</v>
      </c>
      <c r="G49" s="65">
        <v>0</v>
      </c>
    </row>
    <row r="50" spans="1:7" x14ac:dyDescent="0.25">
      <c r="A50" s="81" t="s">
        <v>19</v>
      </c>
      <c r="B50" s="65">
        <v>0</v>
      </c>
      <c r="C50" s="65">
        <v>11652915228</v>
      </c>
      <c r="D50" s="65">
        <v>11652915228</v>
      </c>
      <c r="E50" s="65">
        <v>11652915228</v>
      </c>
      <c r="F50" s="65">
        <v>11652915228</v>
      </c>
      <c r="G50" s="65">
        <v>0</v>
      </c>
    </row>
    <row r="51" spans="1:7" x14ac:dyDescent="0.25">
      <c r="A51" s="80" t="s">
        <v>306</v>
      </c>
      <c r="B51" s="65">
        <v>0</v>
      </c>
      <c r="C51" s="65">
        <v>2263000000</v>
      </c>
      <c r="D51" s="65">
        <v>2219000280</v>
      </c>
      <c r="E51" s="65">
        <v>1569000000</v>
      </c>
      <c r="F51" s="65">
        <v>1159000000</v>
      </c>
      <c r="G51" s="65">
        <v>0</v>
      </c>
    </row>
    <row r="52" spans="1:7" x14ac:dyDescent="0.25">
      <c r="A52" s="81" t="s">
        <v>19</v>
      </c>
      <c r="B52" s="65">
        <v>0</v>
      </c>
      <c r="C52" s="65">
        <v>2263000000</v>
      </c>
      <c r="D52" s="65">
        <v>2219000280</v>
      </c>
      <c r="E52" s="65">
        <v>1569000000</v>
      </c>
      <c r="F52" s="65">
        <v>1159000000</v>
      </c>
      <c r="G52" s="65">
        <v>0</v>
      </c>
    </row>
    <row r="53" spans="1:7" x14ac:dyDescent="0.25">
      <c r="A53" s="80" t="s">
        <v>308</v>
      </c>
      <c r="B53" s="65">
        <v>0</v>
      </c>
      <c r="C53" s="65">
        <v>18850000000</v>
      </c>
      <c r="D53" s="65">
        <v>14985000000</v>
      </c>
      <c r="E53" s="65">
        <v>10550000000</v>
      </c>
      <c r="F53" s="65">
        <v>2065000000</v>
      </c>
      <c r="G53" s="65"/>
    </row>
    <row r="54" spans="1:7" x14ac:dyDescent="0.25">
      <c r="A54" s="81" t="s">
        <v>19</v>
      </c>
      <c r="B54" s="65">
        <v>0</v>
      </c>
      <c r="C54" s="65">
        <v>18850000000</v>
      </c>
      <c r="D54" s="65">
        <v>14985000000</v>
      </c>
      <c r="E54" s="65">
        <v>10550000000</v>
      </c>
      <c r="F54" s="65">
        <v>2065000000</v>
      </c>
      <c r="G54" s="65"/>
    </row>
    <row r="55" spans="1:7" x14ac:dyDescent="0.25">
      <c r="A55" s="80" t="s">
        <v>1179</v>
      </c>
      <c r="B55" s="65">
        <v>0</v>
      </c>
      <c r="C55" s="65">
        <v>174692082000</v>
      </c>
      <c r="D55" s="65">
        <v>115613561000</v>
      </c>
      <c r="E55" s="65">
        <v>141889131500</v>
      </c>
      <c r="F55" s="65">
        <v>140114037500</v>
      </c>
      <c r="G55" s="65">
        <v>0</v>
      </c>
    </row>
    <row r="56" spans="1:7" x14ac:dyDescent="0.25">
      <c r="A56" s="155" t="s">
        <v>19</v>
      </c>
      <c r="B56" s="65">
        <v>0</v>
      </c>
      <c r="C56" s="65">
        <v>174692082000</v>
      </c>
      <c r="D56" s="65">
        <v>115613561000</v>
      </c>
      <c r="E56" s="65">
        <v>141889131500</v>
      </c>
      <c r="F56" s="65">
        <v>140114037500</v>
      </c>
      <c r="G56" s="65">
        <v>0</v>
      </c>
    </row>
    <row r="57" spans="1:7" x14ac:dyDescent="0.25">
      <c r="A57"/>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1"/>
  <sheetViews>
    <sheetView zoomScale="130" zoomScaleNormal="130" workbookViewId="0">
      <pane xSplit="2" ySplit="1" topLeftCell="C2" activePane="bottomRight" state="frozen"/>
      <selection activeCell="B98" sqref="B98"/>
      <selection pane="topRight" activeCell="B98" sqref="B98"/>
      <selection pane="bottomLeft" activeCell="B98" sqref="B98"/>
      <selection pane="bottomRight" activeCell="F1" sqref="F1"/>
    </sheetView>
  </sheetViews>
  <sheetFormatPr defaultRowHeight="18.75" x14ac:dyDescent="0.3"/>
  <cols>
    <col min="1" max="1" width="11.5703125" style="99" bestFit="1" customWidth="1"/>
    <col min="2" max="2" width="55" style="99" customWidth="1"/>
    <col min="3" max="3" width="13" style="95" bestFit="1" customWidth="1"/>
    <col min="4" max="4" width="14.5703125" style="95" bestFit="1" customWidth="1"/>
    <col min="5" max="6" width="13" style="95" bestFit="1" customWidth="1"/>
    <col min="7" max="7" width="14.5703125" style="96" bestFit="1" customWidth="1"/>
  </cols>
  <sheetData>
    <row r="1" spans="1:7" s="15" customFormat="1" x14ac:dyDescent="0.3">
      <c r="A1" s="87" t="s">
        <v>31</v>
      </c>
      <c r="B1" s="87" t="s">
        <v>1512</v>
      </c>
      <c r="C1" s="88" t="s">
        <v>1513</v>
      </c>
      <c r="D1" s="88" t="s">
        <v>1514</v>
      </c>
      <c r="E1" s="88" t="s">
        <v>1619</v>
      </c>
      <c r="F1" s="88" t="s">
        <v>1515</v>
      </c>
      <c r="G1" s="88" t="s">
        <v>501</v>
      </c>
    </row>
    <row r="2" spans="1:7" x14ac:dyDescent="0.3">
      <c r="A2" s="89" t="s">
        <v>1179</v>
      </c>
      <c r="B2" s="89" t="s">
        <v>1516</v>
      </c>
      <c r="C2" s="90">
        <v>55.484705332100006</v>
      </c>
      <c r="D2" s="90">
        <v>99.40699684974669</v>
      </c>
      <c r="E2" s="90">
        <v>15.406903924165951</v>
      </c>
      <c r="F2" s="90">
        <v>0</v>
      </c>
      <c r="G2" s="91">
        <v>170.29860610601267</v>
      </c>
    </row>
    <row r="3" spans="1:7" x14ac:dyDescent="0.3">
      <c r="A3" s="89" t="s">
        <v>1220</v>
      </c>
      <c r="B3" s="89" t="s">
        <v>1517</v>
      </c>
      <c r="C3" s="90">
        <v>18.772679627999999</v>
      </c>
      <c r="D3" s="90">
        <v>379.02030548215583</v>
      </c>
      <c r="E3" s="90">
        <v>12.33841130240884</v>
      </c>
      <c r="F3" s="90">
        <v>0</v>
      </c>
      <c r="G3" s="91">
        <v>410.13139641256464</v>
      </c>
    </row>
    <row r="4" spans="1:7" x14ac:dyDescent="0.3">
      <c r="A4" s="89" t="s">
        <v>0</v>
      </c>
      <c r="B4" s="89" t="s">
        <v>1518</v>
      </c>
      <c r="C4" s="90">
        <v>3.9028864890000001</v>
      </c>
      <c r="D4" s="90">
        <v>93.7367716779587</v>
      </c>
      <c r="E4" s="90">
        <v>24.476921257488936</v>
      </c>
      <c r="F4" s="90">
        <v>116.967</v>
      </c>
      <c r="G4" s="91">
        <v>239.08357942444763</v>
      </c>
    </row>
    <row r="5" spans="1:7" x14ac:dyDescent="0.3">
      <c r="A5" s="89" t="s">
        <v>32</v>
      </c>
      <c r="B5" s="89" t="s">
        <v>1519</v>
      </c>
      <c r="C5" s="90">
        <v>591.82779268988008</v>
      </c>
      <c r="D5" s="90">
        <v>766.17690265947795</v>
      </c>
      <c r="E5" s="90">
        <v>2097.4428803709998</v>
      </c>
      <c r="F5" s="90">
        <v>0</v>
      </c>
      <c r="G5" s="91">
        <v>3455.4475757203577</v>
      </c>
    </row>
    <row r="6" spans="1:7" x14ac:dyDescent="0.3">
      <c r="A6" s="89" t="s">
        <v>33</v>
      </c>
      <c r="B6" s="89" t="s">
        <v>1520</v>
      </c>
      <c r="C6" s="90">
        <v>5.2314205550614021</v>
      </c>
      <c r="D6" s="90">
        <v>13.637832552880074</v>
      </c>
      <c r="E6" s="90">
        <v>4.9127589762227224</v>
      </c>
      <c r="F6" s="90">
        <v>0</v>
      </c>
      <c r="G6" s="91">
        <v>23.782012084164197</v>
      </c>
    </row>
    <row r="7" spans="1:7" x14ac:dyDescent="0.3">
      <c r="A7" s="89" t="s">
        <v>1222</v>
      </c>
      <c r="B7" s="89" t="s">
        <v>1521</v>
      </c>
      <c r="C7" s="90">
        <v>5.7183262312857135</v>
      </c>
      <c r="D7" s="90">
        <v>24.034568376090416</v>
      </c>
      <c r="E7" s="90">
        <v>0.71299059886144323</v>
      </c>
      <c r="F7" s="90">
        <v>0</v>
      </c>
      <c r="G7" s="91">
        <v>30.465885206237569</v>
      </c>
    </row>
    <row r="8" spans="1:7" x14ac:dyDescent="0.3">
      <c r="A8" s="89" t="s">
        <v>957</v>
      </c>
      <c r="B8" s="89" t="s">
        <v>1511</v>
      </c>
      <c r="C8" s="90">
        <v>8.8203551358800016</v>
      </c>
      <c r="D8" s="90">
        <v>47.947439353752245</v>
      </c>
      <c r="E8" s="90">
        <v>74.729144276891049</v>
      </c>
      <c r="F8" s="90">
        <v>0</v>
      </c>
      <c r="G8" s="91">
        <v>131.4969387665233</v>
      </c>
    </row>
    <row r="9" spans="1:7" x14ac:dyDescent="0.3">
      <c r="A9" s="92" t="s">
        <v>941</v>
      </c>
      <c r="B9" s="89" t="s">
        <v>1522</v>
      </c>
      <c r="C9" s="90">
        <v>6.7090000000000005</v>
      </c>
      <c r="D9" s="90">
        <v>659.16881797287101</v>
      </c>
      <c r="E9" s="90">
        <v>73.064000000000007</v>
      </c>
      <c r="F9" s="90">
        <v>132.00330000000002</v>
      </c>
      <c r="G9" s="91">
        <v>870.945117972871</v>
      </c>
    </row>
    <row r="10" spans="1:7" x14ac:dyDescent="0.3">
      <c r="A10" s="89" t="s">
        <v>1184</v>
      </c>
      <c r="B10" s="89" t="s">
        <v>1523</v>
      </c>
      <c r="C10" s="90">
        <v>2.2994836539999999</v>
      </c>
      <c r="D10" s="90">
        <v>28.052766426283057</v>
      </c>
      <c r="E10" s="90">
        <v>7.42870171858877</v>
      </c>
      <c r="F10" s="90">
        <v>0</v>
      </c>
      <c r="G10" s="91">
        <v>37.780951798871826</v>
      </c>
    </row>
    <row r="11" spans="1:7" x14ac:dyDescent="0.3">
      <c r="A11" s="89" t="s">
        <v>891</v>
      </c>
      <c r="B11" s="89" t="s">
        <v>1524</v>
      </c>
      <c r="C11" s="90">
        <v>13.03294895688</v>
      </c>
      <c r="D11" s="90">
        <v>27.708884948751205</v>
      </c>
      <c r="E11" s="90">
        <v>84.761955560054787</v>
      </c>
      <c r="F11" s="90">
        <v>393.21540725454554</v>
      </c>
      <c r="G11" s="91">
        <v>518.71919672023159</v>
      </c>
    </row>
    <row r="12" spans="1:7" x14ac:dyDescent="0.3">
      <c r="A12" s="89" t="s">
        <v>932</v>
      </c>
      <c r="B12" s="89" t="s">
        <v>1525</v>
      </c>
      <c r="C12" s="90">
        <v>9.6146346808799983</v>
      </c>
      <c r="D12" s="90">
        <v>9.6195735134071434</v>
      </c>
      <c r="E12" s="90">
        <v>61.063461535208823</v>
      </c>
      <c r="F12" s="90">
        <v>42.186098000000001</v>
      </c>
      <c r="G12" s="91">
        <v>122.48376772949597</v>
      </c>
    </row>
    <row r="13" spans="1:7" x14ac:dyDescent="0.3">
      <c r="A13" s="89" t="s">
        <v>1106</v>
      </c>
      <c r="B13" s="89" t="s">
        <v>1526</v>
      </c>
      <c r="C13" s="90">
        <v>8.1028622806200001</v>
      </c>
      <c r="D13" s="90">
        <v>36.970715805984327</v>
      </c>
      <c r="E13" s="90">
        <v>8.9209644581077292</v>
      </c>
      <c r="F13" s="90">
        <v>127.41605199999999</v>
      </c>
      <c r="G13" s="91">
        <v>181.41059454471207</v>
      </c>
    </row>
    <row r="14" spans="1:7" x14ac:dyDescent="0.3">
      <c r="A14" s="89" t="s">
        <v>961</v>
      </c>
      <c r="B14" s="89" t="s">
        <v>1527</v>
      </c>
      <c r="C14" s="90">
        <v>17.811101871001977</v>
      </c>
      <c r="D14" s="90">
        <v>266.67757493700782</v>
      </c>
      <c r="E14" s="90">
        <v>71.376765663987968</v>
      </c>
      <c r="F14" s="90">
        <v>160.64024451008004</v>
      </c>
      <c r="G14" s="91">
        <v>516.5056869820778</v>
      </c>
    </row>
    <row r="15" spans="1:7" x14ac:dyDescent="0.3">
      <c r="A15" s="89" t="s">
        <v>97</v>
      </c>
      <c r="B15" s="89" t="s">
        <v>1510</v>
      </c>
      <c r="C15" s="90">
        <v>14.617456906331103</v>
      </c>
      <c r="D15" s="90">
        <v>78.556445838300419</v>
      </c>
      <c r="E15" s="90">
        <v>50.257824860285176</v>
      </c>
      <c r="F15" s="90">
        <v>35.862113391200005</v>
      </c>
      <c r="G15" s="91">
        <v>179.2938409961167</v>
      </c>
    </row>
    <row r="16" spans="1:7" x14ac:dyDescent="0.3">
      <c r="A16" s="92" t="s">
        <v>98</v>
      </c>
      <c r="B16" s="89" t="s">
        <v>1528</v>
      </c>
      <c r="C16" s="90">
        <v>2.4582487159999999</v>
      </c>
      <c r="D16" s="90">
        <v>48.807064404517504</v>
      </c>
      <c r="E16" s="90">
        <v>4.7837630004469229</v>
      </c>
      <c r="F16" s="90">
        <v>0</v>
      </c>
      <c r="G16" s="91">
        <v>56.049076120964429</v>
      </c>
    </row>
    <row r="17" spans="1:7" x14ac:dyDescent="0.3">
      <c r="A17" s="89" t="s">
        <v>99</v>
      </c>
      <c r="B17" s="89" t="s">
        <v>1529</v>
      </c>
      <c r="C17" s="90">
        <v>11.865803051959999</v>
      </c>
      <c r="D17" s="90">
        <v>102.95707530092974</v>
      </c>
      <c r="E17" s="90">
        <v>393.96742657641335</v>
      </c>
      <c r="F17" s="90">
        <v>1870.20251816</v>
      </c>
      <c r="G17" s="91">
        <v>2378.9928230893029</v>
      </c>
    </row>
    <row r="18" spans="1:7" x14ac:dyDescent="0.3">
      <c r="A18" s="89" t="s">
        <v>66</v>
      </c>
      <c r="B18" s="89" t="s">
        <v>1530</v>
      </c>
      <c r="C18" s="90">
        <v>6.2245706219999999</v>
      </c>
      <c r="D18" s="90">
        <v>49.847652759599995</v>
      </c>
      <c r="E18" s="90">
        <v>282.24881936899999</v>
      </c>
      <c r="F18" s="90">
        <v>1618.0311956567043</v>
      </c>
      <c r="G18" s="91">
        <v>1956.3522384073044</v>
      </c>
    </row>
    <row r="19" spans="1:7" x14ac:dyDescent="0.3">
      <c r="A19" s="89" t="s">
        <v>67</v>
      </c>
      <c r="B19" s="89" t="s">
        <v>1531</v>
      </c>
      <c r="C19" s="90">
        <v>4.0527576561599998</v>
      </c>
      <c r="D19" s="90">
        <v>133.96817793354728</v>
      </c>
      <c r="E19" s="90">
        <v>8.4870836272003345</v>
      </c>
      <c r="F19" s="90">
        <v>0</v>
      </c>
      <c r="G19" s="91">
        <v>146.5080192169076</v>
      </c>
    </row>
    <row r="20" spans="1:7" x14ac:dyDescent="0.3">
      <c r="A20" s="89" t="s">
        <v>68</v>
      </c>
      <c r="B20" s="89" t="s">
        <v>1532</v>
      </c>
      <c r="C20" s="90">
        <v>12.999621532000001</v>
      </c>
      <c r="D20" s="90">
        <v>1.3016380970076695</v>
      </c>
      <c r="E20" s="90">
        <v>410.13578647182902</v>
      </c>
      <c r="F20" s="90">
        <v>1099.3330642200001</v>
      </c>
      <c r="G20" s="91">
        <v>1523.7701103208369</v>
      </c>
    </row>
    <row r="21" spans="1:7" x14ac:dyDescent="0.3">
      <c r="A21" s="89" t="s">
        <v>69</v>
      </c>
      <c r="B21" s="89" t="s">
        <v>1533</v>
      </c>
      <c r="C21" s="90">
        <v>5.9369503453599997</v>
      </c>
      <c r="D21" s="90">
        <v>11.956553691775371</v>
      </c>
      <c r="E21" s="90">
        <v>20.222839682846068</v>
      </c>
      <c r="F21" s="90">
        <v>0</v>
      </c>
      <c r="G21" s="91">
        <v>38.116343719981444</v>
      </c>
    </row>
    <row r="22" spans="1:7" x14ac:dyDescent="0.3">
      <c r="A22" s="89" t="s">
        <v>70</v>
      </c>
      <c r="B22" s="89" t="s">
        <v>1534</v>
      </c>
      <c r="C22" s="90">
        <v>1.1353987489999999</v>
      </c>
      <c r="D22" s="90">
        <v>29.369078028696745</v>
      </c>
      <c r="E22" s="90">
        <v>0.9204</v>
      </c>
      <c r="F22" s="90">
        <v>0</v>
      </c>
      <c r="G22" s="91">
        <v>31.424876777696745</v>
      </c>
    </row>
    <row r="23" spans="1:7" x14ac:dyDescent="0.3">
      <c r="A23" s="89" t="s">
        <v>71</v>
      </c>
      <c r="B23" s="89" t="s">
        <v>1535</v>
      </c>
      <c r="C23" s="90">
        <v>2.0856037862000001</v>
      </c>
      <c r="D23" s="90">
        <v>140.80037731862822</v>
      </c>
      <c r="E23" s="90">
        <v>16.140968872299588</v>
      </c>
      <c r="F23" s="90">
        <v>0</v>
      </c>
      <c r="G23" s="91">
        <v>159.02694997712783</v>
      </c>
    </row>
    <row r="24" spans="1:7" x14ac:dyDescent="0.3">
      <c r="A24" s="89" t="s">
        <v>72</v>
      </c>
      <c r="B24" s="89" t="s">
        <v>1536</v>
      </c>
      <c r="C24" s="90">
        <v>2.5718914400000004</v>
      </c>
      <c r="D24" s="90">
        <v>25.034744471884295</v>
      </c>
      <c r="E24" s="90">
        <v>77.507838800000002</v>
      </c>
      <c r="F24" s="90">
        <v>9.288739360000001</v>
      </c>
      <c r="G24" s="91">
        <v>114.40321407188429</v>
      </c>
    </row>
    <row r="25" spans="1:7" x14ac:dyDescent="0.3">
      <c r="A25" s="89" t="s">
        <v>100</v>
      </c>
      <c r="B25" s="89" t="s">
        <v>1537</v>
      </c>
      <c r="C25" s="90">
        <v>0.68310878500000005</v>
      </c>
      <c r="D25" s="90">
        <v>0</v>
      </c>
      <c r="E25" s="90">
        <v>0</v>
      </c>
      <c r="F25" s="90">
        <v>0</v>
      </c>
      <c r="G25" s="91">
        <v>0.68310878500000005</v>
      </c>
    </row>
    <row r="26" spans="1:7" x14ac:dyDescent="0.3">
      <c r="A26" s="89" t="s">
        <v>101</v>
      </c>
      <c r="B26" s="89" t="s">
        <v>1538</v>
      </c>
      <c r="C26" s="90">
        <v>58.421605074279995</v>
      </c>
      <c r="D26" s="90">
        <v>115.62702898940091</v>
      </c>
      <c r="E26" s="90">
        <v>21.009499999999996</v>
      </c>
      <c r="F26" s="90">
        <v>0</v>
      </c>
      <c r="G26" s="91">
        <v>195.05813406368091</v>
      </c>
    </row>
    <row r="27" spans="1:7" x14ac:dyDescent="0.3">
      <c r="A27" s="89" t="s">
        <v>102</v>
      </c>
      <c r="B27" s="89" t="s">
        <v>1539</v>
      </c>
      <c r="C27" s="90">
        <v>37.666581718399996</v>
      </c>
      <c r="D27" s="90">
        <v>94.096227320703633</v>
      </c>
      <c r="E27" s="90">
        <v>6.2000000109072957</v>
      </c>
      <c r="F27" s="90">
        <v>0</v>
      </c>
      <c r="G27" s="91">
        <v>137.96280905001092</v>
      </c>
    </row>
    <row r="28" spans="1:7" x14ac:dyDescent="0.3">
      <c r="A28" s="89" t="s">
        <v>103</v>
      </c>
      <c r="B28" s="89" t="s">
        <v>1540</v>
      </c>
      <c r="C28" s="90">
        <v>21.169761279999999</v>
      </c>
      <c r="D28" s="90">
        <v>19.013178358258738</v>
      </c>
      <c r="E28" s="90">
        <v>13.29321265162196</v>
      </c>
      <c r="F28" s="90">
        <v>0</v>
      </c>
      <c r="G28" s="91">
        <v>53.476152289880702</v>
      </c>
    </row>
    <row r="29" spans="1:7" x14ac:dyDescent="0.3">
      <c r="A29" s="89" t="s">
        <v>104</v>
      </c>
      <c r="B29" s="89" t="s">
        <v>1541</v>
      </c>
      <c r="C29" s="90">
        <v>86.932848938960007</v>
      </c>
      <c r="D29" s="90">
        <v>515.15503681382449</v>
      </c>
      <c r="E29" s="90">
        <v>65.691000000000003</v>
      </c>
      <c r="F29" s="90">
        <v>0</v>
      </c>
      <c r="G29" s="91">
        <v>667.7788857527845</v>
      </c>
    </row>
    <row r="30" spans="1:7" x14ac:dyDescent="0.3">
      <c r="A30" s="89" t="s">
        <v>105</v>
      </c>
      <c r="B30" s="89" t="s">
        <v>1542</v>
      </c>
      <c r="C30" s="90">
        <v>4.0733965238799996</v>
      </c>
      <c r="D30" s="90">
        <v>6.1063541736413072</v>
      </c>
      <c r="E30" s="90">
        <v>0.20002040331477847</v>
      </c>
      <c r="F30" s="90">
        <v>0</v>
      </c>
      <c r="G30" s="91">
        <v>10.379771100836086</v>
      </c>
    </row>
    <row r="31" spans="1:7" x14ac:dyDescent="0.3">
      <c r="A31" s="89" t="s">
        <v>106</v>
      </c>
      <c r="B31" s="89" t="s">
        <v>1543</v>
      </c>
      <c r="C31" s="90">
        <v>6.5948487935599998</v>
      </c>
      <c r="D31" s="90">
        <v>12.25590083855208</v>
      </c>
      <c r="E31" s="90">
        <v>5.1797335842738629E-2</v>
      </c>
      <c r="F31" s="90">
        <v>0</v>
      </c>
      <c r="G31" s="91">
        <v>18.902546967954819</v>
      </c>
    </row>
    <row r="32" spans="1:7" x14ac:dyDescent="0.3">
      <c r="A32" s="89" t="s">
        <v>107</v>
      </c>
      <c r="B32" s="89" t="s">
        <v>1544</v>
      </c>
      <c r="C32" s="90">
        <v>1.3196797129600002</v>
      </c>
      <c r="D32" s="90">
        <v>7.9222460457640578</v>
      </c>
      <c r="E32" s="90">
        <v>1.8500000000000003</v>
      </c>
      <c r="F32" s="90">
        <v>0</v>
      </c>
      <c r="G32" s="91">
        <v>11.091925758724058</v>
      </c>
    </row>
    <row r="33" spans="1:7" x14ac:dyDescent="0.3">
      <c r="A33" s="89" t="s">
        <v>108</v>
      </c>
      <c r="B33" s="89" t="s">
        <v>1545</v>
      </c>
      <c r="C33" s="90">
        <v>8.9106499320000001</v>
      </c>
      <c r="D33" s="90">
        <v>20.242275054992124</v>
      </c>
      <c r="E33" s="90">
        <v>4.414167988</v>
      </c>
      <c r="F33" s="90">
        <v>0</v>
      </c>
      <c r="G33" s="91">
        <v>33.567092974992129</v>
      </c>
    </row>
    <row r="34" spans="1:7" x14ac:dyDescent="0.3">
      <c r="A34" s="89" t="s">
        <v>109</v>
      </c>
      <c r="B34" s="89" t="s">
        <v>1546</v>
      </c>
      <c r="C34" s="90">
        <v>8.4425120000000007</v>
      </c>
      <c r="D34" s="90">
        <v>15.24773587783719</v>
      </c>
      <c r="E34" s="90">
        <v>4.3933042370907236</v>
      </c>
      <c r="F34" s="90">
        <v>0</v>
      </c>
      <c r="G34" s="91">
        <v>28.083552114927915</v>
      </c>
    </row>
    <row r="35" spans="1:7" x14ac:dyDescent="0.3">
      <c r="A35" s="89" t="s">
        <v>110</v>
      </c>
      <c r="B35" s="89" t="s">
        <v>1547</v>
      </c>
      <c r="C35" s="90">
        <v>6.3264001879999991</v>
      </c>
      <c r="D35" s="90">
        <v>11.597961202237299</v>
      </c>
      <c r="E35" s="90">
        <v>5.4960000003213132</v>
      </c>
      <c r="F35" s="90">
        <v>0</v>
      </c>
      <c r="G35" s="91">
        <v>23.420361390558611</v>
      </c>
    </row>
    <row r="36" spans="1:7" x14ac:dyDescent="0.3">
      <c r="A36" s="89" t="s">
        <v>111</v>
      </c>
      <c r="B36" s="89" t="s">
        <v>1548</v>
      </c>
      <c r="C36" s="90">
        <v>30.116396695678489</v>
      </c>
      <c r="D36" s="90">
        <v>14.586387840612</v>
      </c>
      <c r="E36" s="90">
        <v>6.8427790419999992</v>
      </c>
      <c r="F36" s="90">
        <v>0</v>
      </c>
      <c r="G36" s="91">
        <v>51.545563578290484</v>
      </c>
    </row>
    <row r="37" spans="1:7" x14ac:dyDescent="0.3">
      <c r="A37" s="89" t="s">
        <v>112</v>
      </c>
      <c r="B37" s="89" t="s">
        <v>1549</v>
      </c>
      <c r="C37" s="90">
        <v>2.5835768402400001</v>
      </c>
      <c r="D37" s="90">
        <v>3.090529479223715</v>
      </c>
      <c r="E37" s="90">
        <v>0</v>
      </c>
      <c r="F37" s="90">
        <v>0</v>
      </c>
      <c r="G37" s="91">
        <v>5.6741063194637151</v>
      </c>
    </row>
    <row r="38" spans="1:7" x14ac:dyDescent="0.3">
      <c r="A38" s="89" t="s">
        <v>113</v>
      </c>
      <c r="B38" s="89" t="s">
        <v>1550</v>
      </c>
      <c r="C38" s="90">
        <v>71.105192983999999</v>
      </c>
      <c r="D38" s="90">
        <v>24.928247525092779</v>
      </c>
      <c r="E38" s="90">
        <v>1724.5518607149097</v>
      </c>
      <c r="F38" s="90">
        <v>2830.5831162120435</v>
      </c>
      <c r="G38" s="91">
        <v>4651.1684174360462</v>
      </c>
    </row>
    <row r="39" spans="1:7" x14ac:dyDescent="0.3">
      <c r="A39" s="89" t="s">
        <v>114</v>
      </c>
      <c r="B39" s="89" t="s">
        <v>1551</v>
      </c>
      <c r="C39" s="90">
        <v>6.2956707318999978</v>
      </c>
      <c r="D39" s="90">
        <v>14.763145760897121</v>
      </c>
      <c r="E39" s="90">
        <v>13.92926497179117</v>
      </c>
      <c r="F39" s="90">
        <v>0</v>
      </c>
      <c r="G39" s="91">
        <v>34.988081464588291</v>
      </c>
    </row>
    <row r="40" spans="1:7" x14ac:dyDescent="0.3">
      <c r="A40" s="89" t="s">
        <v>115</v>
      </c>
      <c r="B40" s="89" t="s">
        <v>1552</v>
      </c>
      <c r="C40" s="90">
        <v>4.5991802239999995</v>
      </c>
      <c r="D40" s="90">
        <v>15.67467903691921</v>
      </c>
      <c r="E40" s="90">
        <v>4.6500000000000004</v>
      </c>
      <c r="F40" s="90">
        <v>0</v>
      </c>
      <c r="G40" s="91">
        <v>24.923859260919208</v>
      </c>
    </row>
    <row r="41" spans="1:7" x14ac:dyDescent="0.3">
      <c r="A41" s="89" t="s">
        <v>116</v>
      </c>
      <c r="B41" s="89" t="s">
        <v>1553</v>
      </c>
      <c r="C41" s="90">
        <v>15.273434467000001</v>
      </c>
      <c r="D41" s="90">
        <v>394.96195305419957</v>
      </c>
      <c r="E41" s="90">
        <v>10.078763608999999</v>
      </c>
      <c r="F41" s="90">
        <v>0</v>
      </c>
      <c r="G41" s="91">
        <v>420.3141511301996</v>
      </c>
    </row>
    <row r="42" spans="1:7" x14ac:dyDescent="0.3">
      <c r="A42" s="89" t="s">
        <v>117</v>
      </c>
      <c r="B42" s="89" t="s">
        <v>1554</v>
      </c>
      <c r="C42" s="90">
        <v>1.8553920001999029</v>
      </c>
      <c r="D42" s="90">
        <v>15.688055838951884</v>
      </c>
      <c r="E42" s="90">
        <v>0.15530251239003345</v>
      </c>
      <c r="F42" s="90">
        <v>0</v>
      </c>
      <c r="G42" s="91">
        <v>17.698750351541822</v>
      </c>
    </row>
    <row r="43" spans="1:7" x14ac:dyDescent="0.3">
      <c r="A43" s="89" t="s">
        <v>118</v>
      </c>
      <c r="B43" s="89" t="s">
        <v>1555</v>
      </c>
      <c r="C43" s="90">
        <v>2.6674129999999998</v>
      </c>
      <c r="D43" s="90">
        <v>490.86421983137814</v>
      </c>
      <c r="E43" s="90">
        <v>16.39</v>
      </c>
      <c r="F43" s="90">
        <v>0</v>
      </c>
      <c r="G43" s="91">
        <v>509.92163283137813</v>
      </c>
    </row>
    <row r="44" spans="1:7" x14ac:dyDescent="0.3">
      <c r="A44" s="89" t="s">
        <v>119</v>
      </c>
      <c r="B44" s="89" t="s">
        <v>1556</v>
      </c>
      <c r="C44" s="90">
        <v>8.9795233090000011</v>
      </c>
      <c r="D44" s="90">
        <v>12.07670856325559</v>
      </c>
      <c r="E44" s="90">
        <v>0.40500000000000003</v>
      </c>
      <c r="F44" s="90">
        <v>0</v>
      </c>
      <c r="G44" s="91">
        <v>21.461231872255592</v>
      </c>
    </row>
    <row r="45" spans="1:7" x14ac:dyDescent="0.3">
      <c r="A45" s="89" t="s">
        <v>120</v>
      </c>
      <c r="B45" s="89" t="s">
        <v>1557</v>
      </c>
      <c r="C45" s="90">
        <v>4.41748871244</v>
      </c>
      <c r="D45" s="90">
        <v>86.742040831352483</v>
      </c>
      <c r="E45" s="90">
        <v>9.2271569491515049</v>
      </c>
      <c r="F45" s="90">
        <v>0</v>
      </c>
      <c r="G45" s="91">
        <v>100.38668649294399</v>
      </c>
    </row>
    <row r="46" spans="1:7" x14ac:dyDescent="0.3">
      <c r="A46" s="89" t="s">
        <v>121</v>
      </c>
      <c r="B46" s="89" t="s">
        <v>1558</v>
      </c>
      <c r="C46" s="90">
        <v>1.5704</v>
      </c>
      <c r="D46" s="90">
        <v>3.4953600640672144</v>
      </c>
      <c r="E46" s="90">
        <v>3.6424349877848718</v>
      </c>
      <c r="F46" s="90">
        <v>0</v>
      </c>
      <c r="G46" s="91">
        <v>8.708195051852087</v>
      </c>
    </row>
    <row r="47" spans="1:7" x14ac:dyDescent="0.3">
      <c r="A47" s="89" t="s">
        <v>122</v>
      </c>
      <c r="B47" s="89" t="s">
        <v>1559</v>
      </c>
      <c r="C47" s="90">
        <v>122.7408737424918</v>
      </c>
      <c r="D47" s="90">
        <v>67.924315471647688</v>
      </c>
      <c r="E47" s="90">
        <v>80.635244585919537</v>
      </c>
      <c r="F47" s="90">
        <v>246.98751719999996</v>
      </c>
      <c r="G47" s="91">
        <v>518.28795100005902</v>
      </c>
    </row>
    <row r="48" spans="1:7" x14ac:dyDescent="0.3">
      <c r="A48" s="89" t="s">
        <v>123</v>
      </c>
      <c r="B48" s="89" t="s">
        <v>1560</v>
      </c>
      <c r="C48" s="90">
        <v>15.813207825999999</v>
      </c>
      <c r="D48" s="90">
        <v>16.880298395000004</v>
      </c>
      <c r="E48" s="90">
        <v>128.13934087499999</v>
      </c>
      <c r="F48" s="90">
        <v>284.61970000000002</v>
      </c>
      <c r="G48" s="91">
        <v>445.45254709599999</v>
      </c>
    </row>
    <row r="49" spans="1:7" x14ac:dyDescent="0.3">
      <c r="A49" s="89" t="s">
        <v>124</v>
      </c>
      <c r="B49" s="89" t="s">
        <v>1561</v>
      </c>
      <c r="C49" s="90">
        <v>2.9668079721600003</v>
      </c>
      <c r="D49" s="90">
        <v>8.7445208991372159</v>
      </c>
      <c r="E49" s="90">
        <v>0.36042557000000008</v>
      </c>
      <c r="F49" s="90">
        <v>0</v>
      </c>
      <c r="G49" s="91">
        <v>12.071754441297216</v>
      </c>
    </row>
    <row r="50" spans="1:7" x14ac:dyDescent="0.3">
      <c r="A50" s="89" t="s">
        <v>125</v>
      </c>
      <c r="B50" s="89" t="s">
        <v>1562</v>
      </c>
      <c r="C50" s="90">
        <v>4.6360230080000004</v>
      </c>
      <c r="D50" s="90">
        <v>6.3346040598756232</v>
      </c>
      <c r="E50" s="90">
        <v>61.344216572637251</v>
      </c>
      <c r="F50" s="90">
        <v>0</v>
      </c>
      <c r="G50" s="91">
        <v>72.314843640512876</v>
      </c>
    </row>
    <row r="51" spans="1:7" x14ac:dyDescent="0.3">
      <c r="A51" s="89" t="s">
        <v>126</v>
      </c>
      <c r="B51" s="89" t="s">
        <v>1563</v>
      </c>
      <c r="C51" s="90">
        <v>7.4391709441199998</v>
      </c>
      <c r="D51" s="90">
        <v>15.747104742909267</v>
      </c>
      <c r="E51" s="90">
        <v>7.4425855631024058</v>
      </c>
      <c r="F51" s="90">
        <v>62.382400000000004</v>
      </c>
      <c r="G51" s="91">
        <v>93.011261250131668</v>
      </c>
    </row>
    <row r="52" spans="1:7" x14ac:dyDescent="0.3">
      <c r="A52" s="89" t="s">
        <v>127</v>
      </c>
      <c r="B52" s="89" t="s">
        <v>1564</v>
      </c>
      <c r="C52" s="90">
        <v>14.599322061124301</v>
      </c>
      <c r="D52" s="90">
        <v>4.90718465146601</v>
      </c>
      <c r="E52" s="90">
        <v>4.2</v>
      </c>
      <c r="F52" s="90">
        <v>0</v>
      </c>
      <c r="G52" s="91">
        <v>23.706506712590311</v>
      </c>
    </row>
    <row r="53" spans="1:7" x14ac:dyDescent="0.3">
      <c r="A53" s="89" t="s">
        <v>128</v>
      </c>
      <c r="B53" s="89" t="s">
        <v>1565</v>
      </c>
      <c r="C53" s="90">
        <v>12.36</v>
      </c>
      <c r="D53" s="90">
        <v>97.685366443828286</v>
      </c>
      <c r="E53" s="90">
        <v>15.000000000000002</v>
      </c>
      <c r="F53" s="90">
        <v>0</v>
      </c>
      <c r="G53" s="91">
        <v>125.04536644382829</v>
      </c>
    </row>
    <row r="54" spans="1:7" x14ac:dyDescent="0.3">
      <c r="A54" s="89" t="s">
        <v>129</v>
      </c>
      <c r="B54" s="89" t="s">
        <v>1566</v>
      </c>
      <c r="C54" s="90">
        <v>3.7440000000000002</v>
      </c>
      <c r="D54" s="90">
        <v>9.6738315400093491</v>
      </c>
      <c r="E54" s="90">
        <v>0.215</v>
      </c>
      <c r="F54" s="90">
        <v>0</v>
      </c>
      <c r="G54" s="91">
        <v>13.632831540009349</v>
      </c>
    </row>
    <row r="55" spans="1:7" x14ac:dyDescent="0.3">
      <c r="A55" s="89" t="s">
        <v>130</v>
      </c>
      <c r="B55" s="89" t="s">
        <v>1567</v>
      </c>
      <c r="C55" s="90">
        <v>0</v>
      </c>
      <c r="D55" s="90">
        <v>5504.2506973677528</v>
      </c>
      <c r="E55" s="90">
        <v>0</v>
      </c>
      <c r="F55" s="90">
        <v>0</v>
      </c>
      <c r="G55" s="91">
        <v>5504.2506973677528</v>
      </c>
    </row>
    <row r="56" spans="1:7" x14ac:dyDescent="0.3">
      <c r="A56" s="89" t="s">
        <v>131</v>
      </c>
      <c r="B56" s="89" t="s">
        <v>1568</v>
      </c>
      <c r="C56" s="90">
        <v>28.856427488720001</v>
      </c>
      <c r="D56" s="90">
        <v>36.843125620086916</v>
      </c>
      <c r="E56" s="90">
        <v>3.0500000004147125</v>
      </c>
      <c r="F56" s="90">
        <v>0</v>
      </c>
      <c r="G56" s="91">
        <v>68.749553109221637</v>
      </c>
    </row>
    <row r="57" spans="1:7" x14ac:dyDescent="0.3">
      <c r="A57" s="89" t="s">
        <v>132</v>
      </c>
      <c r="B57" s="89" t="s">
        <v>1569</v>
      </c>
      <c r="C57" s="90">
        <v>2.8162994712800002</v>
      </c>
      <c r="D57" s="90">
        <v>6.352769523561447</v>
      </c>
      <c r="E57" s="90">
        <v>0.19153025050000008</v>
      </c>
      <c r="F57" s="90">
        <v>0</v>
      </c>
      <c r="G57" s="91">
        <v>9.3605992453414473</v>
      </c>
    </row>
    <row r="58" spans="1:7" x14ac:dyDescent="0.3">
      <c r="A58" s="89" t="s">
        <v>133</v>
      </c>
      <c r="B58" s="89" t="s">
        <v>1570</v>
      </c>
      <c r="C58" s="90">
        <v>16.611369237120002</v>
      </c>
      <c r="D58" s="90">
        <v>25.693638247463575</v>
      </c>
      <c r="E58" s="90">
        <v>5.8553511799968483</v>
      </c>
      <c r="F58" s="90">
        <v>0</v>
      </c>
      <c r="G58" s="91">
        <v>48.160358664580428</v>
      </c>
    </row>
    <row r="59" spans="1:7" x14ac:dyDescent="0.3">
      <c r="A59" s="89" t="s">
        <v>134</v>
      </c>
      <c r="B59" s="89" t="s">
        <v>1571</v>
      </c>
      <c r="C59" s="90">
        <v>2.4031108267199999</v>
      </c>
      <c r="D59" s="90">
        <v>4.5950920496607424</v>
      </c>
      <c r="E59" s="90">
        <v>7.9999999999999974E-2</v>
      </c>
      <c r="F59" s="90">
        <v>0</v>
      </c>
      <c r="G59" s="91">
        <v>7.0782028763807423</v>
      </c>
    </row>
    <row r="60" spans="1:7" x14ac:dyDescent="0.3">
      <c r="A60" s="89" t="s">
        <v>136</v>
      </c>
      <c r="B60" s="89" t="s">
        <v>1572</v>
      </c>
      <c r="C60" s="90">
        <v>206.60012514306464</v>
      </c>
      <c r="D60" s="90">
        <v>140.95222077590918</v>
      </c>
      <c r="E60" s="90">
        <v>15.516209712000002</v>
      </c>
      <c r="F60" s="90">
        <v>0</v>
      </c>
      <c r="G60" s="91">
        <v>363.06855563097383</v>
      </c>
    </row>
    <row r="61" spans="1:7" x14ac:dyDescent="0.3">
      <c r="A61" s="89" t="s">
        <v>137</v>
      </c>
      <c r="B61" s="89" t="s">
        <v>1573</v>
      </c>
      <c r="C61" s="90">
        <v>39.152110217515926</v>
      </c>
      <c r="D61" s="90">
        <v>14.64698466549841</v>
      </c>
      <c r="E61" s="90">
        <v>3.6857687139999999</v>
      </c>
      <c r="F61" s="90">
        <v>0</v>
      </c>
      <c r="G61" s="91">
        <v>57.484863597014332</v>
      </c>
    </row>
    <row r="62" spans="1:7" x14ac:dyDescent="0.3">
      <c r="A62" s="89" t="s">
        <v>138</v>
      </c>
      <c r="B62" s="89" t="s">
        <v>1574</v>
      </c>
      <c r="C62" s="90">
        <v>53.785093579721483</v>
      </c>
      <c r="D62" s="90">
        <v>38.755971674484002</v>
      </c>
      <c r="E62" s="90">
        <v>3.2204999999999995</v>
      </c>
      <c r="F62" s="90">
        <v>0</v>
      </c>
      <c r="G62" s="91">
        <v>95.761565254205479</v>
      </c>
    </row>
    <row r="63" spans="1:7" x14ac:dyDescent="0.3">
      <c r="A63" s="89" t="s">
        <v>139</v>
      </c>
      <c r="B63" s="89" t="s">
        <v>1575</v>
      </c>
      <c r="C63" s="90">
        <v>58.664433354403748</v>
      </c>
      <c r="D63" s="90">
        <v>75.164784094906153</v>
      </c>
      <c r="E63" s="90">
        <v>0.84284510599999951</v>
      </c>
      <c r="F63" s="90">
        <v>0</v>
      </c>
      <c r="G63" s="91">
        <v>134.67206255530991</v>
      </c>
    </row>
    <row r="64" spans="1:7" x14ac:dyDescent="0.3">
      <c r="A64" s="89" t="s">
        <v>140</v>
      </c>
      <c r="B64" s="89" t="s">
        <v>1576</v>
      </c>
      <c r="C64" s="90">
        <v>15.871026594826217</v>
      </c>
      <c r="D64" s="90">
        <v>18.072385529397149</v>
      </c>
      <c r="E64" s="90">
        <v>0</v>
      </c>
      <c r="F64" s="90">
        <v>0</v>
      </c>
      <c r="G64" s="91">
        <v>33.943412124223364</v>
      </c>
    </row>
    <row r="65" spans="1:7" x14ac:dyDescent="0.3">
      <c r="A65" s="89" t="s">
        <v>141</v>
      </c>
      <c r="B65" s="89" t="s">
        <v>1577</v>
      </c>
      <c r="C65" s="90">
        <v>163.26376080699998</v>
      </c>
      <c r="D65" s="90">
        <v>229.75666020373313</v>
      </c>
      <c r="E65" s="90">
        <v>43.639695827000004</v>
      </c>
      <c r="F65" s="90">
        <v>0</v>
      </c>
      <c r="G65" s="91">
        <v>436.66011683773314</v>
      </c>
    </row>
    <row r="66" spans="1:7" x14ac:dyDescent="0.3">
      <c r="A66" s="89" t="s">
        <v>142</v>
      </c>
      <c r="B66" s="89" t="s">
        <v>1578</v>
      </c>
      <c r="C66" s="90">
        <v>33.233229272999999</v>
      </c>
      <c r="D66" s="90">
        <v>20.587100711149041</v>
      </c>
      <c r="E66" s="90">
        <v>51.472993561999992</v>
      </c>
      <c r="F66" s="90">
        <v>0</v>
      </c>
      <c r="G66" s="91">
        <v>105.29332354614903</v>
      </c>
    </row>
    <row r="67" spans="1:7" x14ac:dyDescent="0.3">
      <c r="A67" s="89" t="s">
        <v>143</v>
      </c>
      <c r="B67" s="89" t="s">
        <v>1579</v>
      </c>
      <c r="C67" s="90">
        <v>14.99051388537173</v>
      </c>
      <c r="D67" s="90">
        <v>25.296578302406072</v>
      </c>
      <c r="E67" s="90">
        <v>20.409485946792842</v>
      </c>
      <c r="F67" s="90">
        <v>0</v>
      </c>
      <c r="G67" s="91">
        <v>60.696578134570643</v>
      </c>
    </row>
    <row r="68" spans="1:7" x14ac:dyDescent="0.3">
      <c r="A68" s="89" t="s">
        <v>144</v>
      </c>
      <c r="B68" s="89" t="s">
        <v>1580</v>
      </c>
      <c r="C68" s="90">
        <v>369.52581479765956</v>
      </c>
      <c r="D68" s="90">
        <v>263.26543912797052</v>
      </c>
      <c r="E68" s="90">
        <v>206.27297558600003</v>
      </c>
      <c r="F68" s="90">
        <v>0</v>
      </c>
      <c r="G68" s="91">
        <v>839.06422951163017</v>
      </c>
    </row>
    <row r="69" spans="1:7" x14ac:dyDescent="0.3">
      <c r="A69" s="89" t="s">
        <v>145</v>
      </c>
      <c r="B69" s="89" t="s">
        <v>1581</v>
      </c>
      <c r="C69" s="90">
        <v>80.646961103600006</v>
      </c>
      <c r="D69" s="90">
        <v>146.71757132104941</v>
      </c>
      <c r="E69" s="90">
        <v>37.276536287200003</v>
      </c>
      <c r="F69" s="90">
        <v>0</v>
      </c>
      <c r="G69" s="91">
        <v>264.64106871184941</v>
      </c>
    </row>
    <row r="70" spans="1:7" x14ac:dyDescent="0.3">
      <c r="A70" s="89" t="s">
        <v>146</v>
      </c>
      <c r="B70" s="89" t="s">
        <v>1582</v>
      </c>
      <c r="C70" s="90">
        <v>3.2737813670399998</v>
      </c>
      <c r="D70" s="90">
        <v>6.024706845569316</v>
      </c>
      <c r="E70" s="90">
        <v>0.18422214220097288</v>
      </c>
      <c r="F70" s="90">
        <v>0</v>
      </c>
      <c r="G70" s="91">
        <v>9.4827103548102887</v>
      </c>
    </row>
    <row r="71" spans="1:7" x14ac:dyDescent="0.3">
      <c r="A71" s="89" t="s">
        <v>147</v>
      </c>
      <c r="B71" s="89" t="s">
        <v>1583</v>
      </c>
      <c r="C71" s="90">
        <v>1.6188183999999999</v>
      </c>
      <c r="D71" s="90">
        <v>3.5386815473050084</v>
      </c>
      <c r="E71" s="90">
        <v>0.15669983999999998</v>
      </c>
      <c r="F71" s="90">
        <v>0</v>
      </c>
      <c r="G71" s="91">
        <v>5.3141997873050082</v>
      </c>
    </row>
    <row r="72" spans="1:7" x14ac:dyDescent="0.3">
      <c r="A72" s="89" t="s">
        <v>148</v>
      </c>
      <c r="B72" s="89" t="s">
        <v>1584</v>
      </c>
      <c r="C72" s="90">
        <v>2.67513855816</v>
      </c>
      <c r="D72" s="90">
        <v>7.7400145147298698</v>
      </c>
      <c r="E72" s="90">
        <v>0.24279662460175286</v>
      </c>
      <c r="F72" s="90">
        <v>0</v>
      </c>
      <c r="G72" s="91">
        <v>10.657949697491624</v>
      </c>
    </row>
    <row r="73" spans="1:7" x14ac:dyDescent="0.3">
      <c r="A73" s="89" t="s">
        <v>149</v>
      </c>
      <c r="B73" s="89" t="s">
        <v>1585</v>
      </c>
      <c r="C73" s="90">
        <v>35.987571777212835</v>
      </c>
      <c r="D73" s="90">
        <v>15.397806939539889</v>
      </c>
      <c r="E73" s="90">
        <v>1.3436661650000001</v>
      </c>
      <c r="F73" s="90">
        <v>0</v>
      </c>
      <c r="G73" s="91">
        <v>52.729044881752728</v>
      </c>
    </row>
    <row r="74" spans="1:7" x14ac:dyDescent="0.3">
      <c r="A74" s="89" t="s">
        <v>150</v>
      </c>
      <c r="B74" s="89" t="s">
        <v>1586</v>
      </c>
      <c r="C74" s="90">
        <v>6.7220865510200003</v>
      </c>
      <c r="D74" s="90">
        <v>10.167066830254413</v>
      </c>
      <c r="E74" s="90">
        <v>0.98999999435823527</v>
      </c>
      <c r="F74" s="90">
        <v>0</v>
      </c>
      <c r="G74" s="91">
        <v>17.879153375632647</v>
      </c>
    </row>
    <row r="75" spans="1:7" x14ac:dyDescent="0.3">
      <c r="A75" s="89" t="s">
        <v>151</v>
      </c>
      <c r="B75" s="89" t="s">
        <v>1587</v>
      </c>
      <c r="C75" s="90">
        <v>3.92286124004</v>
      </c>
      <c r="D75" s="90">
        <v>11.7520386932771</v>
      </c>
      <c r="E75" s="90">
        <v>1.87</v>
      </c>
      <c r="F75" s="90">
        <v>0</v>
      </c>
      <c r="G75" s="91">
        <v>17.544899933317101</v>
      </c>
    </row>
    <row r="76" spans="1:7" x14ac:dyDescent="0.3">
      <c r="A76" s="89" t="s">
        <v>152</v>
      </c>
      <c r="B76" s="89" t="s">
        <v>1588</v>
      </c>
      <c r="C76" s="90">
        <v>2.1849000000900003</v>
      </c>
      <c r="D76" s="90">
        <v>1.1564765727120379</v>
      </c>
      <c r="E76" s="90">
        <v>128.49989154275374</v>
      </c>
      <c r="F76" s="90">
        <v>0</v>
      </c>
      <c r="G76" s="91">
        <v>131.84126811555578</v>
      </c>
    </row>
    <row r="77" spans="1:7" x14ac:dyDescent="0.3">
      <c r="A77" s="89" t="s">
        <v>1589</v>
      </c>
      <c r="B77" s="89" t="s">
        <v>1590</v>
      </c>
      <c r="C77" s="90">
        <v>6.9685918000000004</v>
      </c>
      <c r="D77" s="90">
        <v>5.3201764877469273</v>
      </c>
      <c r="E77" s="90">
        <v>10.994</v>
      </c>
      <c r="F77" s="90">
        <v>0</v>
      </c>
      <c r="G77" s="91">
        <v>23.282768287746926</v>
      </c>
    </row>
    <row r="78" spans="1:7" x14ac:dyDescent="0.3">
      <c r="A78" s="89" t="s">
        <v>154</v>
      </c>
      <c r="B78" s="89" t="s">
        <v>1591</v>
      </c>
      <c r="C78" s="90">
        <v>21.355699000000001</v>
      </c>
      <c r="D78" s="90">
        <v>32.03630298129935</v>
      </c>
      <c r="E78" s="90">
        <v>11.652915228730482</v>
      </c>
      <c r="F78" s="90">
        <v>0</v>
      </c>
      <c r="G78" s="91">
        <v>65.044917210029837</v>
      </c>
    </row>
    <row r="79" spans="1:7" x14ac:dyDescent="0.3">
      <c r="A79" s="89" t="s">
        <v>155</v>
      </c>
      <c r="B79" s="89" t="s">
        <v>1592</v>
      </c>
      <c r="C79" s="90">
        <v>2.0132583959999999</v>
      </c>
      <c r="D79" s="90">
        <v>1.8177097029401104</v>
      </c>
      <c r="E79" s="90">
        <v>4.2110000000000003</v>
      </c>
      <c r="F79" s="90">
        <v>0</v>
      </c>
      <c r="G79" s="91">
        <v>8.0419680989401101</v>
      </c>
    </row>
    <row r="80" spans="1:7" x14ac:dyDescent="0.3">
      <c r="A80" s="89" t="s">
        <v>156</v>
      </c>
      <c r="B80" s="89" t="s">
        <v>1593</v>
      </c>
      <c r="C80" s="90">
        <v>0.61363789023999993</v>
      </c>
      <c r="D80" s="90">
        <v>0.57103626047651257</v>
      </c>
      <c r="E80" s="90">
        <v>39.315398183960163</v>
      </c>
      <c r="F80" s="90">
        <v>0</v>
      </c>
      <c r="G80" s="91">
        <v>40.500072334676673</v>
      </c>
    </row>
    <row r="81" spans="1:7" x14ac:dyDescent="0.3">
      <c r="A81" s="89" t="s">
        <v>157</v>
      </c>
      <c r="B81" s="89" t="s">
        <v>1594</v>
      </c>
      <c r="C81" s="90">
        <v>8.2655019999999997</v>
      </c>
      <c r="D81" s="90">
        <v>15.731437522508685</v>
      </c>
      <c r="E81" s="90">
        <v>12.882993000001152</v>
      </c>
      <c r="F81" s="90">
        <v>0</v>
      </c>
      <c r="G81" s="91">
        <v>36.879932522509833</v>
      </c>
    </row>
    <row r="82" spans="1:7" x14ac:dyDescent="0.3">
      <c r="A82" s="89" t="s">
        <v>159</v>
      </c>
      <c r="B82" s="89" t="s">
        <v>1595</v>
      </c>
      <c r="C82" s="90">
        <v>14.4402548</v>
      </c>
      <c r="D82" s="90">
        <v>28.804267845776501</v>
      </c>
      <c r="E82" s="90">
        <v>3.6392959999999999</v>
      </c>
      <c r="F82" s="90">
        <v>0</v>
      </c>
      <c r="G82" s="91">
        <v>46.8838186457765</v>
      </c>
    </row>
    <row r="83" spans="1:7" x14ac:dyDescent="0.3">
      <c r="A83" s="89" t="s">
        <v>160</v>
      </c>
      <c r="B83" s="89" t="s">
        <v>1596</v>
      </c>
      <c r="C83" s="90">
        <v>7.6715482850000001</v>
      </c>
      <c r="D83" s="90">
        <v>79.127445981361305</v>
      </c>
      <c r="E83" s="90">
        <v>3.0630553497999999</v>
      </c>
      <c r="F83" s="90">
        <v>0</v>
      </c>
      <c r="G83" s="91">
        <v>89.8620496161613</v>
      </c>
    </row>
    <row r="84" spans="1:7" x14ac:dyDescent="0.3">
      <c r="A84" s="89" t="s">
        <v>161</v>
      </c>
      <c r="B84" s="89" t="s">
        <v>1597</v>
      </c>
      <c r="C84" s="90">
        <v>29.205751193560008</v>
      </c>
      <c r="D84" s="90">
        <v>27.7067789076075</v>
      </c>
      <c r="E84" s="90">
        <v>4.0199999999999996</v>
      </c>
      <c r="F84" s="90">
        <v>0</v>
      </c>
      <c r="G84" s="91">
        <v>60.932530101167501</v>
      </c>
    </row>
    <row r="85" spans="1:7" x14ac:dyDescent="0.3">
      <c r="A85" s="89" t="s">
        <v>162</v>
      </c>
      <c r="B85" s="89" t="s">
        <v>1598</v>
      </c>
      <c r="C85" s="90">
        <v>5.6999264081520007</v>
      </c>
      <c r="D85" s="90">
        <v>7.5049381844096628</v>
      </c>
      <c r="E85" s="90">
        <v>3.8081405789999998</v>
      </c>
      <c r="F85" s="90">
        <v>0</v>
      </c>
      <c r="G85" s="91">
        <v>17.013005171561662</v>
      </c>
    </row>
    <row r="86" spans="1:7" x14ac:dyDescent="0.3">
      <c r="A86" s="89" t="s">
        <v>301</v>
      </c>
      <c r="B86" s="89" t="s">
        <v>1599</v>
      </c>
      <c r="C86" s="90">
        <v>15.246207690894611</v>
      </c>
      <c r="D86" s="90">
        <v>7.2619596850574197</v>
      </c>
      <c r="E86" s="90">
        <v>5.3</v>
      </c>
      <c r="F86" s="90">
        <v>0</v>
      </c>
      <c r="G86" s="91">
        <v>27.808167375952031</v>
      </c>
    </row>
    <row r="87" spans="1:7" x14ac:dyDescent="0.3">
      <c r="A87" s="89" t="s">
        <v>302</v>
      </c>
      <c r="B87" s="89" t="s">
        <v>1600</v>
      </c>
      <c r="C87" s="90">
        <v>7.4130000000000011</v>
      </c>
      <c r="D87" s="90">
        <v>4.1394244617192788</v>
      </c>
      <c r="E87" s="90">
        <v>14.202320974146271</v>
      </c>
      <c r="F87" s="90">
        <v>0</v>
      </c>
      <c r="G87" s="91">
        <v>25.754745435865551</v>
      </c>
    </row>
    <row r="88" spans="1:7" x14ac:dyDescent="0.3">
      <c r="A88" s="89" t="s">
        <v>303</v>
      </c>
      <c r="B88" s="89" t="s">
        <v>1601</v>
      </c>
      <c r="C88" s="90">
        <v>3.6051636359999999</v>
      </c>
      <c r="D88" s="90">
        <v>32.65737015706241</v>
      </c>
      <c r="E88" s="90">
        <v>3.9</v>
      </c>
      <c r="F88" s="90">
        <v>0</v>
      </c>
      <c r="G88" s="91">
        <v>40.162533793062408</v>
      </c>
    </row>
    <row r="89" spans="1:7" x14ac:dyDescent="0.3">
      <c r="A89" s="89" t="s">
        <v>304</v>
      </c>
      <c r="B89" s="89" t="s">
        <v>1602</v>
      </c>
      <c r="C89" s="90">
        <v>1.541135116</v>
      </c>
      <c r="D89" s="90">
        <v>5.1503050927005622</v>
      </c>
      <c r="E89" s="90">
        <v>2.2799999999999998</v>
      </c>
      <c r="F89" s="90">
        <v>0</v>
      </c>
      <c r="G89" s="91">
        <v>8.971440208700562</v>
      </c>
    </row>
    <row r="90" spans="1:7" x14ac:dyDescent="0.3">
      <c r="A90" s="89" t="s">
        <v>305</v>
      </c>
      <c r="B90" s="89" t="s">
        <v>1603</v>
      </c>
      <c r="C90" s="90">
        <v>1.3338737679999999</v>
      </c>
      <c r="D90" s="90">
        <v>8.8051690801168476</v>
      </c>
      <c r="E90" s="90">
        <v>15.944357</v>
      </c>
      <c r="F90" s="90">
        <v>0</v>
      </c>
      <c r="G90" s="91">
        <v>26.083399848116848</v>
      </c>
    </row>
    <row r="91" spans="1:7" x14ac:dyDescent="0.3">
      <c r="A91" s="89" t="s">
        <v>306</v>
      </c>
      <c r="B91" s="89" t="s">
        <v>1604</v>
      </c>
      <c r="C91" s="90">
        <v>1.2612000000000001</v>
      </c>
      <c r="D91" s="90">
        <v>2.43093271637124</v>
      </c>
      <c r="E91" s="90">
        <v>5.6280719999999972E-2</v>
      </c>
      <c r="F91" s="90">
        <v>0</v>
      </c>
      <c r="G91" s="91">
        <v>3.7484134363712402</v>
      </c>
    </row>
    <row r="92" spans="1:7" x14ac:dyDescent="0.3">
      <c r="A92" s="89" t="s">
        <v>307</v>
      </c>
      <c r="B92" s="89" t="s">
        <v>1605</v>
      </c>
      <c r="C92" s="90">
        <v>29.358359875051587</v>
      </c>
      <c r="D92" s="90">
        <v>8.977598934824421</v>
      </c>
      <c r="E92" s="90">
        <v>0.55224000000000006</v>
      </c>
      <c r="F92" s="90">
        <v>0</v>
      </c>
      <c r="G92" s="91">
        <v>38.888198809876002</v>
      </c>
    </row>
    <row r="93" spans="1:7" x14ac:dyDescent="0.3">
      <c r="A93" s="89" t="s">
        <v>308</v>
      </c>
      <c r="B93" s="89" t="s">
        <v>1606</v>
      </c>
      <c r="C93" s="90">
        <v>9.6016066253588175</v>
      </c>
      <c r="D93" s="90">
        <v>4.5137324634978251</v>
      </c>
      <c r="E93" s="90">
        <v>1.9000000000000004</v>
      </c>
      <c r="F93" s="90">
        <v>0</v>
      </c>
      <c r="G93" s="91">
        <v>16.015339088856642</v>
      </c>
    </row>
    <row r="94" spans="1:7" x14ac:dyDescent="0.3">
      <c r="A94" s="89" t="s">
        <v>309</v>
      </c>
      <c r="B94" s="89" t="s">
        <v>1607</v>
      </c>
      <c r="C94" s="90">
        <v>18.834800000000001</v>
      </c>
      <c r="D94" s="90">
        <v>36.341155480017825</v>
      </c>
      <c r="E94" s="90">
        <v>6.1665627790000013</v>
      </c>
      <c r="F94" s="90">
        <v>0</v>
      </c>
      <c r="G94" s="91">
        <v>61.34251825901783</v>
      </c>
    </row>
    <row r="95" spans="1:7" x14ac:dyDescent="0.3">
      <c r="A95" s="89" t="s">
        <v>310</v>
      </c>
      <c r="B95" s="89" t="s">
        <v>1608</v>
      </c>
      <c r="C95" s="90">
        <v>4.2033988009999996</v>
      </c>
      <c r="D95" s="90">
        <v>7.529149185580037</v>
      </c>
      <c r="E95" s="90">
        <v>3.905859</v>
      </c>
      <c r="F95" s="90">
        <v>104.74775349420494</v>
      </c>
      <c r="G95" s="91">
        <v>120.38616048078498</v>
      </c>
    </row>
    <row r="96" spans="1:7" x14ac:dyDescent="0.3">
      <c r="A96" s="89" t="s">
        <v>312</v>
      </c>
      <c r="B96" s="89" t="s">
        <v>1609</v>
      </c>
      <c r="C96" s="90">
        <v>23.829196672000002</v>
      </c>
      <c r="D96" s="90">
        <v>18.264456210028612</v>
      </c>
      <c r="E96" s="90">
        <v>10.927</v>
      </c>
      <c r="F96" s="90">
        <v>0</v>
      </c>
      <c r="G96" s="91">
        <v>53.020652882028614</v>
      </c>
    </row>
    <row r="97" spans="1:7" x14ac:dyDescent="0.3">
      <c r="A97" s="100" t="s">
        <v>1610</v>
      </c>
      <c r="B97" s="100" t="s">
        <v>1611</v>
      </c>
      <c r="C97" s="101">
        <v>97.797823646100014</v>
      </c>
      <c r="D97" s="101">
        <v>100.38612894852216</v>
      </c>
      <c r="E97" s="101">
        <v>26.567562166599998</v>
      </c>
      <c r="F97" s="101">
        <v>0</v>
      </c>
      <c r="G97" s="102">
        <v>224.75151476122215</v>
      </c>
    </row>
    <row r="98" spans="1:7" x14ac:dyDescent="0.3">
      <c r="A98" s="100" t="s">
        <v>1612</v>
      </c>
      <c r="B98" s="100" t="s">
        <v>1613</v>
      </c>
      <c r="C98" s="101">
        <v>26.056516281000011</v>
      </c>
      <c r="D98" s="101">
        <v>147.15279465857554</v>
      </c>
      <c r="E98" s="101">
        <v>17.873849789000001</v>
      </c>
      <c r="F98" s="101">
        <v>0</v>
      </c>
      <c r="G98" s="102">
        <v>191.08316072857554</v>
      </c>
    </row>
    <row r="99" spans="1:7" x14ac:dyDescent="0.3">
      <c r="A99" s="89" t="s">
        <v>1614</v>
      </c>
      <c r="B99" s="89" t="s">
        <v>1615</v>
      </c>
      <c r="C99" s="90">
        <v>2236.1757315032128</v>
      </c>
      <c r="D99" s="90">
        <v>953.72331416623047</v>
      </c>
      <c r="E99" s="90">
        <v>545.01591021093611</v>
      </c>
      <c r="F99" s="90">
        <v>0</v>
      </c>
      <c r="G99" s="91">
        <v>3734.9149558803792</v>
      </c>
    </row>
    <row r="100" spans="1:7" s="15" customFormat="1" x14ac:dyDescent="0.3">
      <c r="A100" s="93"/>
      <c r="B100" s="93" t="s">
        <v>1616</v>
      </c>
      <c r="C100" s="91">
        <v>5100.8785848361294</v>
      </c>
      <c r="D100" s="91">
        <v>13339.471853379142</v>
      </c>
      <c r="E100" s="91">
        <v>7284.096898946088</v>
      </c>
      <c r="F100" s="91">
        <v>9134.4662194587781</v>
      </c>
      <c r="G100" s="91">
        <v>34858.913556620137</v>
      </c>
    </row>
    <row r="101" spans="1:7" x14ac:dyDescent="0.3">
      <c r="A101" s="94"/>
      <c r="B101" s="94"/>
    </row>
    <row r="102" spans="1:7" x14ac:dyDescent="0.3">
      <c r="A102" s="94"/>
      <c r="B102" s="94"/>
    </row>
    <row r="103" spans="1:7" s="98" customFormat="1" x14ac:dyDescent="0.3">
      <c r="A103" s="97" t="s">
        <v>1617</v>
      </c>
      <c r="B103" s="97"/>
      <c r="C103" s="97">
        <f>C100-[9]MTEF!J195</f>
        <v>0</v>
      </c>
      <c r="D103" s="97">
        <f>D100-[9]MTEF!K195</f>
        <v>-199.99999999999272</v>
      </c>
      <c r="E103" s="97">
        <f>E100-[9]MTEF!L195</f>
        <v>0</v>
      </c>
      <c r="F103" s="97">
        <f>F100-[9]MTEF!M195</f>
        <v>559.59250204506498</v>
      </c>
      <c r="G103" s="97">
        <f>G100-[9]MTEF!N195</f>
        <v>8934.4662194587836</v>
      </c>
    </row>
    <row r="104" spans="1:7" x14ac:dyDescent="0.3">
      <c r="A104" s="94"/>
      <c r="B104" s="94"/>
    </row>
    <row r="105" spans="1:7" x14ac:dyDescent="0.3">
      <c r="A105" s="94"/>
      <c r="B105" s="94"/>
    </row>
    <row r="106" spans="1:7" x14ac:dyDescent="0.3">
      <c r="A106" s="94"/>
      <c r="B106" s="94"/>
    </row>
    <row r="107" spans="1:7" x14ac:dyDescent="0.3">
      <c r="A107" s="94"/>
      <c r="B107" s="94"/>
    </row>
    <row r="108" spans="1:7" x14ac:dyDescent="0.3">
      <c r="A108" s="94"/>
      <c r="B108" s="94"/>
    </row>
    <row r="109" spans="1:7" x14ac:dyDescent="0.3">
      <c r="A109" s="94"/>
      <c r="B109" s="94"/>
    </row>
    <row r="110" spans="1:7" x14ac:dyDescent="0.3">
      <c r="A110" s="94"/>
      <c r="B110" s="94"/>
    </row>
    <row r="111" spans="1:7" x14ac:dyDescent="0.3">
      <c r="A111" s="94"/>
      <c r="B111" s="94"/>
    </row>
    <row r="112" spans="1:7" x14ac:dyDescent="0.3">
      <c r="A112" s="94"/>
      <c r="B112" s="94"/>
    </row>
    <row r="113" spans="1:2" x14ac:dyDescent="0.3">
      <c r="A113" s="94"/>
      <c r="B113" s="94"/>
    </row>
    <row r="114" spans="1:2" x14ac:dyDescent="0.3">
      <c r="A114" s="94"/>
      <c r="B114" s="94"/>
    </row>
    <row r="115" spans="1:2" x14ac:dyDescent="0.3">
      <c r="A115" s="94"/>
      <c r="B115" s="94"/>
    </row>
    <row r="116" spans="1:2" x14ac:dyDescent="0.3">
      <c r="A116" s="94"/>
      <c r="B116" s="94"/>
    </row>
    <row r="117" spans="1:2" x14ac:dyDescent="0.3">
      <c r="A117" s="94"/>
      <c r="B117" s="94"/>
    </row>
    <row r="118" spans="1:2" x14ac:dyDescent="0.3">
      <c r="A118" s="94"/>
      <c r="B118" s="94"/>
    </row>
    <row r="119" spans="1:2" x14ac:dyDescent="0.3">
      <c r="A119" s="94"/>
      <c r="B119" s="94"/>
    </row>
    <row r="120" spans="1:2" x14ac:dyDescent="0.3">
      <c r="A120" s="94"/>
      <c r="B120" s="94"/>
    </row>
    <row r="121" spans="1:2" x14ac:dyDescent="0.3">
      <c r="A121" s="94"/>
      <c r="B121" s="94"/>
    </row>
    <row r="122" spans="1:2" x14ac:dyDescent="0.3">
      <c r="A122" s="94"/>
      <c r="B122" s="94"/>
    </row>
    <row r="123" spans="1:2" x14ac:dyDescent="0.3">
      <c r="A123" s="94"/>
      <c r="B123" s="94"/>
    </row>
    <row r="124" spans="1:2" x14ac:dyDescent="0.3">
      <c r="A124" s="94"/>
      <c r="B124" s="94"/>
    </row>
    <row r="125" spans="1:2" x14ac:dyDescent="0.3">
      <c r="A125" s="94"/>
      <c r="B125" s="94"/>
    </row>
    <row r="126" spans="1:2" x14ac:dyDescent="0.3">
      <c r="A126" s="94"/>
      <c r="B126" s="94"/>
    </row>
    <row r="127" spans="1:2" x14ac:dyDescent="0.3">
      <c r="A127" s="94"/>
      <c r="B127" s="94"/>
    </row>
    <row r="128" spans="1:2" x14ac:dyDescent="0.3">
      <c r="A128" s="94"/>
      <c r="B128" s="94"/>
    </row>
    <row r="129" spans="1:2" x14ac:dyDescent="0.3">
      <c r="A129" s="94"/>
      <c r="B129" s="94"/>
    </row>
    <row r="130" spans="1:2" x14ac:dyDescent="0.3">
      <c r="A130" s="94"/>
      <c r="B130" s="94"/>
    </row>
    <row r="131" spans="1:2" x14ac:dyDescent="0.3">
      <c r="A131" s="94"/>
      <c r="B131" s="94"/>
    </row>
  </sheetData>
  <pageMargins left="0.7" right="0.7" top="0.75" bottom="0.75" header="0.3" footer="0.3"/>
  <pageSetup scale="94" orientation="landscape" r:id="rId1"/>
  <headerFooter>
    <oddHeader>&amp;L&amp;"Times New Roman,Bold"&amp;16Draft Budget Allocations by Vote FY 2021/22 (Exc arrears, AIA, redemptions Ushs billion)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9"/>
  <sheetViews>
    <sheetView workbookViewId="0">
      <selection activeCell="A7" sqref="A7"/>
    </sheetView>
  </sheetViews>
  <sheetFormatPr defaultRowHeight="15" x14ac:dyDescent="0.25"/>
  <cols>
    <col min="1" max="1" width="26.5703125" bestFit="1" customWidth="1"/>
    <col min="2" max="2" width="85.5703125" bestFit="1" customWidth="1"/>
  </cols>
  <sheetData>
    <row r="2" spans="1:2" x14ac:dyDescent="0.25">
      <c r="A2" s="140" t="s">
        <v>1732</v>
      </c>
      <c r="B2" s="138" t="s">
        <v>1733</v>
      </c>
    </row>
    <row r="3" spans="1:2" x14ac:dyDescent="0.25">
      <c r="A3" s="141" t="s">
        <v>1734</v>
      </c>
      <c r="B3" s="138" t="s">
        <v>1735</v>
      </c>
    </row>
    <row r="4" spans="1:2" x14ac:dyDescent="0.25">
      <c r="A4" s="142" t="s">
        <v>1736</v>
      </c>
      <c r="B4" s="138" t="s">
        <v>1738</v>
      </c>
    </row>
    <row r="5" spans="1:2" x14ac:dyDescent="0.25">
      <c r="A5" s="143" t="s">
        <v>1740</v>
      </c>
      <c r="B5" s="138" t="s">
        <v>1741</v>
      </c>
    </row>
    <row r="6" spans="1:2" x14ac:dyDescent="0.25">
      <c r="A6" s="144" t="s">
        <v>1737</v>
      </c>
      <c r="B6" s="138" t="s">
        <v>1739</v>
      </c>
    </row>
    <row r="7" spans="1:2" x14ac:dyDescent="0.25">
      <c r="A7" s="145" t="s">
        <v>1742</v>
      </c>
      <c r="B7" s="138" t="s">
        <v>1743</v>
      </c>
    </row>
    <row r="8" spans="1:2" x14ac:dyDescent="0.25">
      <c r="A8" s="146" t="s">
        <v>1744</v>
      </c>
      <c r="B8" s="138" t="s">
        <v>1745</v>
      </c>
    </row>
    <row r="9" spans="1:2" x14ac:dyDescent="0.25">
      <c r="A9" s="147" t="s">
        <v>1746</v>
      </c>
      <c r="B9" s="138" t="s">
        <v>1747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00"/>
  <sheetViews>
    <sheetView zoomScale="50" zoomScaleNormal="50" workbookViewId="0">
      <selection activeCell="B11" sqref="B11"/>
    </sheetView>
  </sheetViews>
  <sheetFormatPr defaultRowHeight="15" x14ac:dyDescent="0.25"/>
  <cols>
    <col min="1" max="1" width="10" customWidth="1"/>
    <col min="2" max="2" width="49.42578125" customWidth="1"/>
    <col min="3" max="3" width="13.42578125" bestFit="1" customWidth="1"/>
    <col min="4" max="4" width="16.5703125" bestFit="1" customWidth="1"/>
    <col min="5" max="5" width="13.42578125" bestFit="1" customWidth="1"/>
    <col min="6" max="6" width="16.5703125" bestFit="1" customWidth="1"/>
    <col min="7" max="7" width="13.42578125" bestFit="1" customWidth="1"/>
    <col min="8" max="8" width="16.5703125" bestFit="1" customWidth="1"/>
    <col min="9" max="9" width="13.42578125" bestFit="1" customWidth="1"/>
    <col min="10" max="10" width="16.5703125" bestFit="1" customWidth="1"/>
  </cols>
  <sheetData>
    <row r="1" spans="1:10" ht="35.450000000000003" customHeight="1" x14ac:dyDescent="0.3">
      <c r="A1" s="110" t="s">
        <v>31</v>
      </c>
      <c r="B1" s="111" t="s">
        <v>1512</v>
      </c>
      <c r="C1" s="112" t="s">
        <v>1671</v>
      </c>
      <c r="D1" s="112" t="s">
        <v>1672</v>
      </c>
      <c r="E1" s="113" t="s">
        <v>1673</v>
      </c>
      <c r="F1" s="113" t="s">
        <v>1674</v>
      </c>
      <c r="G1" s="112" t="s">
        <v>1675</v>
      </c>
      <c r="H1" s="112" t="s">
        <v>1676</v>
      </c>
      <c r="I1" s="113" t="s">
        <v>1677</v>
      </c>
      <c r="J1" s="114" t="s">
        <v>1678</v>
      </c>
    </row>
    <row r="2" spans="1:10" ht="18.75" x14ac:dyDescent="0.3">
      <c r="A2" s="115" t="s">
        <v>1179</v>
      </c>
      <c r="B2" s="89" t="s">
        <v>1516</v>
      </c>
      <c r="C2" s="90">
        <v>15.406903924165951</v>
      </c>
      <c r="D2" s="90">
        <v>0</v>
      </c>
      <c r="E2" s="90">
        <v>15.406903924165951</v>
      </c>
      <c r="F2" s="90">
        <v>0</v>
      </c>
      <c r="G2" s="90"/>
      <c r="H2" s="90"/>
      <c r="I2" s="90"/>
      <c r="J2" s="116"/>
    </row>
    <row r="3" spans="1:10" ht="18.75" x14ac:dyDescent="0.3">
      <c r="A3" s="115" t="s">
        <v>1220</v>
      </c>
      <c r="B3" s="89" t="s">
        <v>1517</v>
      </c>
      <c r="C3" s="90">
        <v>12.33841130240884</v>
      </c>
      <c r="D3" s="90">
        <v>0</v>
      </c>
      <c r="E3" s="90">
        <v>12.33841130240884</v>
      </c>
      <c r="F3" s="90">
        <v>0</v>
      </c>
      <c r="G3" s="90"/>
      <c r="H3" s="90"/>
      <c r="I3" s="90"/>
      <c r="J3" s="116"/>
    </row>
    <row r="4" spans="1:10" ht="18.75" x14ac:dyDescent="0.3">
      <c r="A4" s="115" t="s">
        <v>0</v>
      </c>
      <c r="B4" s="89" t="s">
        <v>1518</v>
      </c>
      <c r="C4" s="90">
        <v>24.476921257488936</v>
      </c>
      <c r="D4" s="90">
        <v>275.20089432499998</v>
      </c>
      <c r="E4" s="90">
        <v>24.476921257488936</v>
      </c>
      <c r="F4" s="90">
        <v>116.967</v>
      </c>
      <c r="G4" s="90"/>
      <c r="H4" s="90"/>
      <c r="I4" s="90"/>
      <c r="J4" s="116"/>
    </row>
    <row r="5" spans="1:10" ht="18.75" x14ac:dyDescent="0.3">
      <c r="A5" s="115" t="s">
        <v>32</v>
      </c>
      <c r="B5" s="89" t="s">
        <v>1519</v>
      </c>
      <c r="C5" s="90">
        <v>2097.4428803709998</v>
      </c>
      <c r="D5" s="90">
        <v>382.72581517912499</v>
      </c>
      <c r="E5" s="90">
        <v>2097.4428803709998</v>
      </c>
      <c r="F5" s="90">
        <v>0</v>
      </c>
      <c r="G5" s="90"/>
      <c r="H5" s="90"/>
      <c r="I5" s="90"/>
      <c r="J5" s="116"/>
    </row>
    <row r="6" spans="1:10" ht="18.75" x14ac:dyDescent="0.3">
      <c r="A6" s="115" t="s">
        <v>33</v>
      </c>
      <c r="B6" s="89" t="s">
        <v>1520</v>
      </c>
      <c r="C6" s="90">
        <v>4.9127589762227224</v>
      </c>
      <c r="D6" s="90">
        <v>0</v>
      </c>
      <c r="E6" s="90">
        <v>4.9127589762227224</v>
      </c>
      <c r="F6" s="90">
        <v>0</v>
      </c>
      <c r="G6" s="90"/>
      <c r="H6" s="90"/>
      <c r="I6" s="90"/>
      <c r="J6" s="116"/>
    </row>
    <row r="7" spans="1:10" ht="18.75" x14ac:dyDescent="0.3">
      <c r="A7" s="115" t="s">
        <v>1222</v>
      </c>
      <c r="B7" s="89" t="s">
        <v>1521</v>
      </c>
      <c r="C7" s="90">
        <v>0.71299059886144323</v>
      </c>
      <c r="D7" s="90">
        <v>0</v>
      </c>
      <c r="E7" s="90">
        <v>0.71299059886144323</v>
      </c>
      <c r="F7" s="90">
        <v>0</v>
      </c>
      <c r="G7" s="90"/>
      <c r="H7" s="90"/>
      <c r="I7" s="90"/>
      <c r="J7" s="116"/>
    </row>
    <row r="8" spans="1:10" ht="18.75" x14ac:dyDescent="0.3">
      <c r="A8" s="115" t="s">
        <v>957</v>
      </c>
      <c r="B8" s="89" t="s">
        <v>1511</v>
      </c>
      <c r="C8" s="90">
        <v>74.729144276891049</v>
      </c>
      <c r="D8" s="90">
        <v>0</v>
      </c>
      <c r="E8" s="90">
        <v>74.729144276891049</v>
      </c>
      <c r="F8" s="90">
        <v>0</v>
      </c>
      <c r="G8" s="90"/>
      <c r="H8" s="90"/>
      <c r="I8" s="90"/>
      <c r="J8" s="116"/>
    </row>
    <row r="9" spans="1:10" ht="18.75" x14ac:dyDescent="0.3">
      <c r="A9" s="117" t="s">
        <v>941</v>
      </c>
      <c r="B9" s="89" t="s">
        <v>1522</v>
      </c>
      <c r="C9" s="90">
        <v>73.064000000000007</v>
      </c>
      <c r="D9" s="90">
        <v>104.28110644311502</v>
      </c>
      <c r="E9" s="90">
        <v>73.064000000000007</v>
      </c>
      <c r="F9" s="90">
        <v>132.00330000000002</v>
      </c>
      <c r="G9" s="90"/>
      <c r="H9" s="90"/>
      <c r="I9" s="90"/>
      <c r="J9" s="116"/>
    </row>
    <row r="10" spans="1:10" ht="18.75" x14ac:dyDescent="0.3">
      <c r="A10" s="115" t="s">
        <v>1184</v>
      </c>
      <c r="B10" s="89" t="s">
        <v>1523</v>
      </c>
      <c r="C10" s="90">
        <v>7.42870171858877</v>
      </c>
      <c r="D10" s="90">
        <v>0</v>
      </c>
      <c r="E10" s="90">
        <v>7.42870171858877</v>
      </c>
      <c r="F10" s="90">
        <v>0</v>
      </c>
      <c r="G10" s="90"/>
      <c r="H10" s="90"/>
      <c r="I10" s="90"/>
      <c r="J10" s="116"/>
    </row>
    <row r="11" spans="1:10" ht="18.75" x14ac:dyDescent="0.3">
      <c r="A11" s="115" t="s">
        <v>891</v>
      </c>
      <c r="B11" s="89" t="s">
        <v>1524</v>
      </c>
      <c r="C11" s="90">
        <v>84.761955560054787</v>
      </c>
      <c r="D11" s="90">
        <v>420.80075241838591</v>
      </c>
      <c r="E11" s="90">
        <v>84.761955560054787</v>
      </c>
      <c r="F11" s="90">
        <v>393.21540725454554</v>
      </c>
      <c r="G11" s="90"/>
      <c r="H11" s="90"/>
      <c r="I11" s="90"/>
      <c r="J11" s="116"/>
    </row>
    <row r="12" spans="1:10" ht="18.75" x14ac:dyDescent="0.3">
      <c r="A12" s="115" t="s">
        <v>932</v>
      </c>
      <c r="B12" s="89" t="s">
        <v>1525</v>
      </c>
      <c r="C12" s="90">
        <v>61.063461535208823</v>
      </c>
      <c r="D12" s="90">
        <v>196.02166558635003</v>
      </c>
      <c r="E12" s="90">
        <v>61.063461535208823</v>
      </c>
      <c r="F12" s="90">
        <v>42.186098000000001</v>
      </c>
      <c r="G12" s="90"/>
      <c r="H12" s="90"/>
      <c r="I12" s="90"/>
      <c r="J12" s="116"/>
    </row>
    <row r="13" spans="1:10" ht="18.75" x14ac:dyDescent="0.3">
      <c r="A13" s="115" t="s">
        <v>1106</v>
      </c>
      <c r="B13" s="89" t="s">
        <v>1526</v>
      </c>
      <c r="C13" s="90">
        <v>8.9209644581077292</v>
      </c>
      <c r="D13" s="90">
        <v>478.1525955504585</v>
      </c>
      <c r="E13" s="90">
        <v>8.9209644581077292</v>
      </c>
      <c r="F13" s="90">
        <v>127.41605199999999</v>
      </c>
      <c r="G13" s="90"/>
      <c r="H13" s="90"/>
      <c r="I13" s="90"/>
      <c r="J13" s="116"/>
    </row>
    <row r="14" spans="1:10" ht="18.75" x14ac:dyDescent="0.3">
      <c r="A14" s="115" t="s">
        <v>961</v>
      </c>
      <c r="B14" s="89" t="s">
        <v>1527</v>
      </c>
      <c r="C14" s="90">
        <v>71.376765663987968</v>
      </c>
      <c r="D14" s="90">
        <v>230.51612243198284</v>
      </c>
      <c r="E14" s="90">
        <v>71.376765663987968</v>
      </c>
      <c r="F14" s="90">
        <v>160.64024451008004</v>
      </c>
      <c r="G14" s="90"/>
      <c r="H14" s="90"/>
      <c r="I14" s="90"/>
      <c r="J14" s="116"/>
    </row>
    <row r="15" spans="1:10" ht="18.75" x14ac:dyDescent="0.3">
      <c r="A15" s="115" t="s">
        <v>97</v>
      </c>
      <c r="B15" s="89" t="s">
        <v>1510</v>
      </c>
      <c r="C15" s="90">
        <v>50.257824860285176</v>
      </c>
      <c r="D15" s="90">
        <v>912.77164236372698</v>
      </c>
      <c r="E15" s="90">
        <v>50.257824860285176</v>
      </c>
      <c r="F15" s="90">
        <v>35.862113391200005</v>
      </c>
      <c r="G15" s="90"/>
      <c r="H15" s="90"/>
      <c r="I15" s="90"/>
      <c r="J15" s="116"/>
    </row>
    <row r="16" spans="1:10" ht="18.75" x14ac:dyDescent="0.3">
      <c r="A16" s="117" t="s">
        <v>98</v>
      </c>
      <c r="B16" s="89" t="s">
        <v>1528</v>
      </c>
      <c r="C16" s="90">
        <v>4.7837630004469229</v>
      </c>
      <c r="D16" s="90">
        <v>7.8628826950000006</v>
      </c>
      <c r="E16" s="90">
        <v>4.7837630004469229</v>
      </c>
      <c r="F16" s="90">
        <v>0</v>
      </c>
      <c r="G16" s="90"/>
      <c r="H16" s="90"/>
      <c r="I16" s="90"/>
      <c r="J16" s="116"/>
    </row>
    <row r="17" spans="1:10" ht="18.75" x14ac:dyDescent="0.3">
      <c r="A17" s="115" t="s">
        <v>99</v>
      </c>
      <c r="B17" s="89" t="s">
        <v>1529</v>
      </c>
      <c r="C17" s="90">
        <v>393.96742657641335</v>
      </c>
      <c r="D17" s="90">
        <v>245.49885494463751</v>
      </c>
      <c r="E17" s="90">
        <v>393.96742657641335</v>
      </c>
      <c r="F17" s="90">
        <v>1870.20251816</v>
      </c>
      <c r="G17" s="90"/>
      <c r="H17" s="90"/>
      <c r="I17" s="90"/>
      <c r="J17" s="116"/>
    </row>
    <row r="18" spans="1:10" ht="18.75" x14ac:dyDescent="0.3">
      <c r="A18" s="115" t="s">
        <v>66</v>
      </c>
      <c r="B18" s="89" t="s">
        <v>1530</v>
      </c>
      <c r="C18" s="90">
        <v>282.24881936899999</v>
      </c>
      <c r="D18" s="90">
        <v>833.292799217469</v>
      </c>
      <c r="E18" s="90">
        <v>282.24881936899999</v>
      </c>
      <c r="F18" s="90">
        <v>1618.0311956567043</v>
      </c>
      <c r="G18" s="90"/>
      <c r="H18" s="90"/>
      <c r="I18" s="90"/>
      <c r="J18" s="116"/>
    </row>
    <row r="19" spans="1:10" ht="18.75" x14ac:dyDescent="0.3">
      <c r="A19" s="115" t="s">
        <v>67</v>
      </c>
      <c r="B19" s="89" t="s">
        <v>1531</v>
      </c>
      <c r="C19" s="90">
        <v>8.4870836272003345</v>
      </c>
      <c r="D19" s="90">
        <v>0</v>
      </c>
      <c r="E19" s="90">
        <v>8.4870836272003345</v>
      </c>
      <c r="F19" s="90">
        <v>0</v>
      </c>
      <c r="G19" s="90"/>
      <c r="H19" s="90"/>
      <c r="I19" s="90"/>
      <c r="J19" s="116"/>
    </row>
    <row r="20" spans="1:10" ht="18.75" x14ac:dyDescent="0.3">
      <c r="A20" s="115" t="s">
        <v>68</v>
      </c>
      <c r="B20" s="89" t="s">
        <v>1532</v>
      </c>
      <c r="C20" s="90">
        <v>410.13578647182902</v>
      </c>
      <c r="D20" s="90">
        <v>933.91238000579915</v>
      </c>
      <c r="E20" s="90">
        <v>410.13578647182902</v>
      </c>
      <c r="F20" s="90">
        <v>1099.3330642200001</v>
      </c>
      <c r="G20" s="90"/>
      <c r="H20" s="90"/>
      <c r="I20" s="90"/>
      <c r="J20" s="116"/>
    </row>
    <row r="21" spans="1:10" ht="18.75" x14ac:dyDescent="0.3">
      <c r="A21" s="115" t="s">
        <v>69</v>
      </c>
      <c r="B21" s="89" t="s">
        <v>1533</v>
      </c>
      <c r="C21" s="90">
        <v>20.222839682846068</v>
      </c>
      <c r="D21" s="90">
        <v>0</v>
      </c>
      <c r="E21" s="90">
        <v>20.222839682846068</v>
      </c>
      <c r="F21" s="90">
        <v>0</v>
      </c>
      <c r="G21" s="90"/>
      <c r="H21" s="90"/>
      <c r="I21" s="90"/>
      <c r="J21" s="116"/>
    </row>
    <row r="22" spans="1:10" ht="18.75" x14ac:dyDescent="0.3">
      <c r="A22" s="115" t="s">
        <v>70</v>
      </c>
      <c r="B22" s="89" t="s">
        <v>1534</v>
      </c>
      <c r="C22" s="90">
        <v>0.9204</v>
      </c>
      <c r="D22" s="90">
        <v>0</v>
      </c>
      <c r="E22" s="90">
        <v>0.9204</v>
      </c>
      <c r="F22" s="90">
        <v>0</v>
      </c>
      <c r="G22" s="90"/>
      <c r="H22" s="90"/>
      <c r="I22" s="90"/>
      <c r="J22" s="116"/>
    </row>
    <row r="23" spans="1:10" ht="18.75" x14ac:dyDescent="0.3">
      <c r="A23" s="115" t="s">
        <v>71</v>
      </c>
      <c r="B23" s="89" t="s">
        <v>1535</v>
      </c>
      <c r="C23" s="90">
        <v>16.140968872299588</v>
      </c>
      <c r="D23" s="90">
        <v>0</v>
      </c>
      <c r="E23" s="90">
        <v>16.140968872299588</v>
      </c>
      <c r="F23" s="90">
        <v>0</v>
      </c>
      <c r="G23" s="90"/>
      <c r="H23" s="90"/>
      <c r="I23" s="90"/>
      <c r="J23" s="116"/>
    </row>
    <row r="24" spans="1:10" ht="18.75" x14ac:dyDescent="0.3">
      <c r="A24" s="115" t="s">
        <v>72</v>
      </c>
      <c r="B24" s="89" t="s">
        <v>1536</v>
      </c>
      <c r="C24" s="90">
        <v>77.507838800000002</v>
      </c>
      <c r="D24" s="90">
        <v>142.3299711035425</v>
      </c>
      <c r="E24" s="90">
        <v>77.507838800000002</v>
      </c>
      <c r="F24" s="90">
        <v>9.288739360000001</v>
      </c>
      <c r="G24" s="90"/>
      <c r="H24" s="90"/>
      <c r="I24" s="90"/>
      <c r="J24" s="116"/>
    </row>
    <row r="25" spans="1:10" ht="18.75" x14ac:dyDescent="0.3">
      <c r="A25" s="115" t="s">
        <v>100</v>
      </c>
      <c r="B25" s="89" t="s">
        <v>1537</v>
      </c>
      <c r="C25" s="90">
        <v>0</v>
      </c>
      <c r="D25" s="90">
        <v>0</v>
      </c>
      <c r="E25" s="90">
        <v>0</v>
      </c>
      <c r="F25" s="90">
        <v>0</v>
      </c>
      <c r="G25" s="90"/>
      <c r="H25" s="90"/>
      <c r="I25" s="90"/>
      <c r="J25" s="116"/>
    </row>
    <row r="26" spans="1:10" ht="18.75" x14ac:dyDescent="0.3">
      <c r="A26" s="115" t="s">
        <v>101</v>
      </c>
      <c r="B26" s="89" t="s">
        <v>1538</v>
      </c>
      <c r="C26" s="90">
        <v>21.009499999999996</v>
      </c>
      <c r="D26" s="90">
        <v>0</v>
      </c>
      <c r="E26" s="90">
        <v>21.009499999999996</v>
      </c>
      <c r="F26" s="90">
        <v>0</v>
      </c>
      <c r="G26" s="90"/>
      <c r="H26" s="90"/>
      <c r="I26" s="90"/>
      <c r="J26" s="116"/>
    </row>
    <row r="27" spans="1:10" ht="18.75" x14ac:dyDescent="0.3">
      <c r="A27" s="115" t="s">
        <v>102</v>
      </c>
      <c r="B27" s="89" t="s">
        <v>1539</v>
      </c>
      <c r="C27" s="90">
        <v>6.2000000109072957</v>
      </c>
      <c r="D27" s="90">
        <v>0</v>
      </c>
      <c r="E27" s="90">
        <v>6.2000000109072957</v>
      </c>
      <c r="F27" s="90">
        <v>0</v>
      </c>
      <c r="G27" s="90"/>
      <c r="H27" s="90"/>
      <c r="I27" s="90"/>
      <c r="J27" s="116"/>
    </row>
    <row r="28" spans="1:10" ht="18.75" x14ac:dyDescent="0.3">
      <c r="A28" s="115" t="s">
        <v>103</v>
      </c>
      <c r="B28" s="89" t="s">
        <v>1540</v>
      </c>
      <c r="C28" s="90">
        <v>13.29321265162196</v>
      </c>
      <c r="D28" s="90">
        <v>0</v>
      </c>
      <c r="E28" s="90">
        <v>13.29321265162196</v>
      </c>
      <c r="F28" s="90">
        <v>0</v>
      </c>
      <c r="G28" s="90"/>
      <c r="H28" s="90"/>
      <c r="I28" s="90"/>
      <c r="J28" s="116"/>
    </row>
    <row r="29" spans="1:10" ht="18.75" x14ac:dyDescent="0.3">
      <c r="A29" s="115" t="s">
        <v>104</v>
      </c>
      <c r="B29" s="89" t="s">
        <v>1541</v>
      </c>
      <c r="C29" s="90">
        <v>65.691000000000003</v>
      </c>
      <c r="D29" s="90">
        <v>0</v>
      </c>
      <c r="E29" s="90">
        <v>65.691000000000003</v>
      </c>
      <c r="F29" s="90">
        <v>0</v>
      </c>
      <c r="G29" s="90"/>
      <c r="H29" s="90"/>
      <c r="I29" s="90"/>
      <c r="J29" s="116"/>
    </row>
    <row r="30" spans="1:10" ht="18.75" x14ac:dyDescent="0.3">
      <c r="A30" s="115" t="s">
        <v>105</v>
      </c>
      <c r="B30" s="89" t="s">
        <v>1542</v>
      </c>
      <c r="C30" s="90">
        <v>0.20002040331477847</v>
      </c>
      <c r="D30" s="90">
        <v>0</v>
      </c>
      <c r="E30" s="90">
        <v>0.20002040331477847</v>
      </c>
      <c r="F30" s="90">
        <v>0</v>
      </c>
      <c r="G30" s="90"/>
      <c r="H30" s="90"/>
      <c r="I30" s="90"/>
      <c r="J30" s="116"/>
    </row>
    <row r="31" spans="1:10" ht="18.75" x14ac:dyDescent="0.3">
      <c r="A31" s="115" t="s">
        <v>106</v>
      </c>
      <c r="B31" s="89" t="s">
        <v>1543</v>
      </c>
      <c r="C31" s="90">
        <v>5.1797335842738629E-2</v>
      </c>
      <c r="D31" s="90">
        <v>0</v>
      </c>
      <c r="E31" s="90">
        <v>5.1797335842738629E-2</v>
      </c>
      <c r="F31" s="90">
        <v>0</v>
      </c>
      <c r="G31" s="90"/>
      <c r="H31" s="90"/>
      <c r="I31" s="90"/>
      <c r="J31" s="116"/>
    </row>
    <row r="32" spans="1:10" ht="18.75" x14ac:dyDescent="0.3">
      <c r="A32" s="115" t="s">
        <v>107</v>
      </c>
      <c r="B32" s="89" t="s">
        <v>1544</v>
      </c>
      <c r="C32" s="90">
        <v>1.8500000000000003</v>
      </c>
      <c r="D32" s="90">
        <v>0</v>
      </c>
      <c r="E32" s="90">
        <v>1.8500000000000003</v>
      </c>
      <c r="F32" s="90">
        <v>0</v>
      </c>
      <c r="G32" s="90"/>
      <c r="H32" s="90"/>
      <c r="I32" s="90"/>
      <c r="J32" s="116"/>
    </row>
    <row r="33" spans="1:10" ht="18.75" x14ac:dyDescent="0.3">
      <c r="A33" s="115" t="s">
        <v>108</v>
      </c>
      <c r="B33" s="89" t="s">
        <v>1545</v>
      </c>
      <c r="C33" s="90">
        <v>4.414167988</v>
      </c>
      <c r="D33" s="90">
        <v>0</v>
      </c>
      <c r="E33" s="90">
        <v>4.414167988</v>
      </c>
      <c r="F33" s="90">
        <v>0</v>
      </c>
      <c r="G33" s="90"/>
      <c r="H33" s="90"/>
      <c r="I33" s="90"/>
      <c r="J33" s="116"/>
    </row>
    <row r="34" spans="1:10" ht="18.75" x14ac:dyDescent="0.3">
      <c r="A34" s="115" t="s">
        <v>109</v>
      </c>
      <c r="B34" s="89" t="s">
        <v>1546</v>
      </c>
      <c r="C34" s="90">
        <v>4.3933042370907236</v>
      </c>
      <c r="D34" s="90">
        <v>0</v>
      </c>
      <c r="E34" s="90">
        <v>4.3933042370907236</v>
      </c>
      <c r="F34" s="90">
        <v>0</v>
      </c>
      <c r="G34" s="90"/>
      <c r="H34" s="90"/>
      <c r="I34" s="90"/>
      <c r="J34" s="116"/>
    </row>
    <row r="35" spans="1:10" ht="18.75" x14ac:dyDescent="0.3">
      <c r="A35" s="115" t="s">
        <v>110</v>
      </c>
      <c r="B35" s="89" t="s">
        <v>1547</v>
      </c>
      <c r="C35" s="90">
        <v>5.4960000003213132</v>
      </c>
      <c r="D35" s="90">
        <v>0</v>
      </c>
      <c r="E35" s="90">
        <v>5.4960000003213132</v>
      </c>
      <c r="F35" s="90">
        <v>0</v>
      </c>
      <c r="G35" s="90"/>
      <c r="H35" s="90"/>
      <c r="I35" s="90"/>
      <c r="J35" s="116"/>
    </row>
    <row r="36" spans="1:10" ht="18.75" x14ac:dyDescent="0.3">
      <c r="A36" s="115" t="s">
        <v>111</v>
      </c>
      <c r="B36" s="89" t="s">
        <v>1548</v>
      </c>
      <c r="C36" s="90">
        <v>6.8427790419999992</v>
      </c>
      <c r="D36" s="90">
        <v>0</v>
      </c>
      <c r="E36" s="90">
        <v>6.8427790419999992</v>
      </c>
      <c r="F36" s="90">
        <v>0</v>
      </c>
      <c r="G36" s="90"/>
      <c r="H36" s="90"/>
      <c r="I36" s="90"/>
      <c r="J36" s="116"/>
    </row>
    <row r="37" spans="1:10" ht="18.75" x14ac:dyDescent="0.3">
      <c r="A37" s="115" t="s">
        <v>112</v>
      </c>
      <c r="B37" s="89" t="s">
        <v>1549</v>
      </c>
      <c r="C37" s="90">
        <v>0</v>
      </c>
      <c r="D37" s="90">
        <v>0</v>
      </c>
      <c r="E37" s="90">
        <v>0</v>
      </c>
      <c r="F37" s="90">
        <v>0</v>
      </c>
      <c r="G37" s="90"/>
      <c r="H37" s="90"/>
      <c r="I37" s="90"/>
      <c r="J37" s="116"/>
    </row>
    <row r="38" spans="1:10" ht="18.75" x14ac:dyDescent="0.3">
      <c r="A38" s="115" t="s">
        <v>113</v>
      </c>
      <c r="B38" s="89" t="s">
        <v>1550</v>
      </c>
      <c r="C38" s="90">
        <v>1724.5518607149097</v>
      </c>
      <c r="D38" s="90">
        <v>2686.0364260680594</v>
      </c>
      <c r="E38" s="90">
        <v>1724.5518607149097</v>
      </c>
      <c r="F38" s="90">
        <v>2830.5831162120435</v>
      </c>
      <c r="G38" s="90"/>
      <c r="H38" s="90"/>
      <c r="I38" s="90"/>
      <c r="J38" s="116"/>
    </row>
    <row r="39" spans="1:10" ht="18.75" x14ac:dyDescent="0.3">
      <c r="A39" s="115" t="s">
        <v>114</v>
      </c>
      <c r="B39" s="89" t="s">
        <v>1551</v>
      </c>
      <c r="C39" s="90">
        <v>13.92926497179117</v>
      </c>
      <c r="D39" s="90">
        <v>2.6812429989950002</v>
      </c>
      <c r="E39" s="90">
        <v>13.92926497179117</v>
      </c>
      <c r="F39" s="90">
        <v>0</v>
      </c>
      <c r="G39" s="90"/>
      <c r="H39" s="90"/>
      <c r="I39" s="90"/>
      <c r="J39" s="116"/>
    </row>
    <row r="40" spans="1:10" ht="18.75" x14ac:dyDescent="0.3">
      <c r="A40" s="115" t="s">
        <v>115</v>
      </c>
      <c r="B40" s="89" t="s">
        <v>1552</v>
      </c>
      <c r="C40" s="90">
        <v>4.6500000000000004</v>
      </c>
      <c r="D40" s="90">
        <v>0</v>
      </c>
      <c r="E40" s="90">
        <v>4.6500000000000004</v>
      </c>
      <c r="F40" s="90">
        <v>0</v>
      </c>
      <c r="G40" s="90"/>
      <c r="H40" s="90"/>
      <c r="I40" s="90"/>
      <c r="J40" s="116"/>
    </row>
    <row r="41" spans="1:10" ht="18.75" x14ac:dyDescent="0.3">
      <c r="A41" s="115" t="s">
        <v>116</v>
      </c>
      <c r="B41" s="89" t="s">
        <v>1553</v>
      </c>
      <c r="C41" s="90">
        <v>10.078763608999999</v>
      </c>
      <c r="D41" s="90">
        <v>0</v>
      </c>
      <c r="E41" s="90">
        <v>10.078763608999999</v>
      </c>
      <c r="F41" s="90">
        <v>0</v>
      </c>
      <c r="G41" s="90"/>
      <c r="H41" s="90"/>
      <c r="I41" s="90"/>
      <c r="J41" s="116"/>
    </row>
    <row r="42" spans="1:10" ht="18.75" x14ac:dyDescent="0.3">
      <c r="A42" s="115" t="s">
        <v>117</v>
      </c>
      <c r="B42" s="89" t="s">
        <v>1554</v>
      </c>
      <c r="C42" s="90">
        <v>0.15530251239003345</v>
      </c>
      <c r="D42" s="90">
        <v>0</v>
      </c>
      <c r="E42" s="90">
        <v>0.15530251239003345</v>
      </c>
      <c r="F42" s="90">
        <v>0</v>
      </c>
      <c r="G42" s="90"/>
      <c r="H42" s="90"/>
      <c r="I42" s="90"/>
      <c r="J42" s="116"/>
    </row>
    <row r="43" spans="1:10" ht="18.75" x14ac:dyDescent="0.3">
      <c r="A43" s="115" t="s">
        <v>118</v>
      </c>
      <c r="B43" s="89" t="s">
        <v>1555</v>
      </c>
      <c r="C43" s="90">
        <v>16.39</v>
      </c>
      <c r="D43" s="90">
        <v>0</v>
      </c>
      <c r="E43" s="90">
        <v>16.39</v>
      </c>
      <c r="F43" s="90">
        <v>0</v>
      </c>
      <c r="G43" s="90"/>
      <c r="H43" s="90"/>
      <c r="I43" s="90"/>
      <c r="J43" s="116"/>
    </row>
    <row r="44" spans="1:10" ht="18.75" x14ac:dyDescent="0.3">
      <c r="A44" s="115" t="s">
        <v>119</v>
      </c>
      <c r="B44" s="89" t="s">
        <v>1556</v>
      </c>
      <c r="C44" s="90">
        <v>0.40500000000000003</v>
      </c>
      <c r="D44" s="90">
        <v>0</v>
      </c>
      <c r="E44" s="90">
        <v>0.40500000000000003</v>
      </c>
      <c r="F44" s="90">
        <v>0</v>
      </c>
      <c r="G44" s="90"/>
      <c r="H44" s="90"/>
      <c r="I44" s="90"/>
      <c r="J44" s="116"/>
    </row>
    <row r="45" spans="1:10" ht="18.75" x14ac:dyDescent="0.3">
      <c r="A45" s="115" t="s">
        <v>120</v>
      </c>
      <c r="B45" s="89" t="s">
        <v>1557</v>
      </c>
      <c r="C45" s="90">
        <v>9.2271569491515049</v>
      </c>
      <c r="D45" s="90">
        <v>0</v>
      </c>
      <c r="E45" s="90">
        <v>9.2271569491515049</v>
      </c>
      <c r="F45" s="90">
        <v>0</v>
      </c>
      <c r="G45" s="90"/>
      <c r="H45" s="90"/>
      <c r="I45" s="90"/>
      <c r="J45" s="116"/>
    </row>
    <row r="46" spans="1:10" ht="18.75" x14ac:dyDescent="0.3">
      <c r="A46" s="115" t="s">
        <v>121</v>
      </c>
      <c r="B46" s="89" t="s">
        <v>1558</v>
      </c>
      <c r="C46" s="90">
        <v>3.6424349877848718</v>
      </c>
      <c r="D46" s="90">
        <v>0</v>
      </c>
      <c r="E46" s="90">
        <v>3.6424349877848718</v>
      </c>
      <c r="F46" s="90">
        <v>0</v>
      </c>
      <c r="G46" s="90"/>
      <c r="H46" s="90"/>
      <c r="I46" s="90"/>
      <c r="J46" s="116"/>
    </row>
    <row r="47" spans="1:10" ht="18.75" x14ac:dyDescent="0.3">
      <c r="A47" s="115" t="s">
        <v>122</v>
      </c>
      <c r="B47" s="89" t="s">
        <v>1559</v>
      </c>
      <c r="C47" s="90">
        <v>80.635244585919537</v>
      </c>
      <c r="D47" s="90">
        <v>107.99669381582501</v>
      </c>
      <c r="E47" s="90">
        <v>80.635244585919537</v>
      </c>
      <c r="F47" s="90">
        <v>246.98751719999996</v>
      </c>
      <c r="G47" s="90"/>
      <c r="H47" s="90"/>
      <c r="I47" s="90"/>
      <c r="J47" s="116"/>
    </row>
    <row r="48" spans="1:10" ht="18.75" x14ac:dyDescent="0.3">
      <c r="A48" s="115" t="s">
        <v>123</v>
      </c>
      <c r="B48" s="89" t="s">
        <v>1560</v>
      </c>
      <c r="C48" s="90">
        <v>128.13934087499999</v>
      </c>
      <c r="D48" s="90">
        <v>436.15994575726813</v>
      </c>
      <c r="E48" s="90">
        <v>128.13934087499999</v>
      </c>
      <c r="F48" s="90">
        <v>284.61970000000002</v>
      </c>
      <c r="G48" s="90"/>
      <c r="H48" s="90"/>
      <c r="I48" s="90"/>
      <c r="J48" s="116"/>
    </row>
    <row r="49" spans="1:10" ht="18.75" x14ac:dyDescent="0.3">
      <c r="A49" s="115" t="s">
        <v>124</v>
      </c>
      <c r="B49" s="89" t="s">
        <v>1561</v>
      </c>
      <c r="C49" s="90">
        <v>0.36042557000000008</v>
      </c>
      <c r="D49" s="90">
        <v>0</v>
      </c>
      <c r="E49" s="90">
        <v>0.36042557000000008</v>
      </c>
      <c r="F49" s="90">
        <v>0</v>
      </c>
      <c r="G49" s="90"/>
      <c r="H49" s="90"/>
      <c r="I49" s="90"/>
      <c r="J49" s="116"/>
    </row>
    <row r="50" spans="1:10" ht="18.75" x14ac:dyDescent="0.3">
      <c r="A50" s="115" t="s">
        <v>125</v>
      </c>
      <c r="B50" s="89" t="s">
        <v>1562</v>
      </c>
      <c r="C50" s="90">
        <v>61.344216572637251</v>
      </c>
      <c r="D50" s="90">
        <v>0</v>
      </c>
      <c r="E50" s="90">
        <v>61.344216572637251</v>
      </c>
      <c r="F50" s="90">
        <v>0</v>
      </c>
      <c r="G50" s="90"/>
      <c r="H50" s="90"/>
      <c r="I50" s="90"/>
      <c r="J50" s="116"/>
    </row>
    <row r="51" spans="1:10" ht="18.75" x14ac:dyDescent="0.3">
      <c r="A51" s="115" t="s">
        <v>126</v>
      </c>
      <c r="B51" s="89" t="s">
        <v>1563</v>
      </c>
      <c r="C51" s="90">
        <v>7.4425855631024058</v>
      </c>
      <c r="D51" s="90">
        <v>33.024107319000002</v>
      </c>
      <c r="E51" s="90">
        <v>7.4425855631024058</v>
      </c>
      <c r="F51" s="90">
        <v>62.382400000000004</v>
      </c>
      <c r="G51" s="90"/>
      <c r="H51" s="90"/>
      <c r="I51" s="90"/>
      <c r="J51" s="116"/>
    </row>
    <row r="52" spans="1:10" ht="18.75" x14ac:dyDescent="0.3">
      <c r="A52" s="115" t="s">
        <v>127</v>
      </c>
      <c r="B52" s="89" t="s">
        <v>1564</v>
      </c>
      <c r="C52" s="90">
        <v>4.2</v>
      </c>
      <c r="D52" s="90">
        <v>0</v>
      </c>
      <c r="E52" s="90">
        <v>4.2</v>
      </c>
      <c r="F52" s="90">
        <v>0</v>
      </c>
      <c r="G52" s="90"/>
      <c r="H52" s="90"/>
      <c r="I52" s="90"/>
      <c r="J52" s="116"/>
    </row>
    <row r="53" spans="1:10" ht="18.75" x14ac:dyDescent="0.3">
      <c r="A53" s="115" t="s">
        <v>128</v>
      </c>
      <c r="B53" s="89" t="s">
        <v>1565</v>
      </c>
      <c r="C53" s="90">
        <v>15.000000000000002</v>
      </c>
      <c r="D53" s="90">
        <v>0</v>
      </c>
      <c r="E53" s="90">
        <v>15.000000000000002</v>
      </c>
      <c r="F53" s="90">
        <v>0</v>
      </c>
      <c r="G53" s="90"/>
      <c r="H53" s="90"/>
      <c r="I53" s="90"/>
      <c r="J53" s="116"/>
    </row>
    <row r="54" spans="1:10" ht="18.75" x14ac:dyDescent="0.3">
      <c r="A54" s="115" t="s">
        <v>129</v>
      </c>
      <c r="B54" s="89" t="s">
        <v>1566</v>
      </c>
      <c r="C54" s="90">
        <v>0.215</v>
      </c>
      <c r="D54" s="90">
        <v>0</v>
      </c>
      <c r="E54" s="90">
        <v>0.215</v>
      </c>
      <c r="F54" s="90">
        <v>0</v>
      </c>
      <c r="G54" s="90"/>
      <c r="H54" s="90"/>
      <c r="I54" s="90"/>
      <c r="J54" s="116"/>
    </row>
    <row r="55" spans="1:10" ht="18.75" x14ac:dyDescent="0.3">
      <c r="A55" s="115" t="s">
        <v>130</v>
      </c>
      <c r="B55" s="89" t="s">
        <v>1567</v>
      </c>
      <c r="C55" s="90">
        <v>0</v>
      </c>
      <c r="D55" s="90">
        <v>0</v>
      </c>
      <c r="E55" s="90">
        <v>0</v>
      </c>
      <c r="F55" s="90">
        <v>0</v>
      </c>
      <c r="G55" s="90"/>
      <c r="H55" s="90"/>
      <c r="I55" s="90"/>
      <c r="J55" s="116"/>
    </row>
    <row r="56" spans="1:10" ht="18.75" x14ac:dyDescent="0.3">
      <c r="A56" s="115" t="s">
        <v>131</v>
      </c>
      <c r="B56" s="89" t="s">
        <v>1568</v>
      </c>
      <c r="C56" s="90">
        <v>3.0500000004147125</v>
      </c>
      <c r="D56" s="90">
        <v>0</v>
      </c>
      <c r="E56" s="90">
        <v>3.0500000004147125</v>
      </c>
      <c r="F56" s="90">
        <v>0</v>
      </c>
      <c r="G56" s="90"/>
      <c r="H56" s="90"/>
      <c r="I56" s="90"/>
      <c r="J56" s="116"/>
    </row>
    <row r="57" spans="1:10" ht="18.75" x14ac:dyDescent="0.3">
      <c r="A57" s="115" t="s">
        <v>132</v>
      </c>
      <c r="B57" s="89" t="s">
        <v>1569</v>
      </c>
      <c r="C57" s="90">
        <v>0.19153025050000008</v>
      </c>
      <c r="D57" s="90">
        <v>0</v>
      </c>
      <c r="E57" s="90">
        <v>0.19153025050000008</v>
      </c>
      <c r="F57" s="90">
        <v>0</v>
      </c>
      <c r="G57" s="90"/>
      <c r="H57" s="90"/>
      <c r="I57" s="90"/>
      <c r="J57" s="116"/>
    </row>
    <row r="58" spans="1:10" ht="18.75" x14ac:dyDescent="0.3">
      <c r="A58" s="115" t="s">
        <v>133</v>
      </c>
      <c r="B58" s="89" t="s">
        <v>1570</v>
      </c>
      <c r="C58" s="90">
        <v>5.8553511799968483</v>
      </c>
      <c r="D58" s="90">
        <v>0</v>
      </c>
      <c r="E58" s="90">
        <v>5.8553511799968483</v>
      </c>
      <c r="F58" s="90">
        <v>0</v>
      </c>
      <c r="G58" s="90"/>
      <c r="H58" s="90"/>
      <c r="I58" s="90"/>
      <c r="J58" s="116"/>
    </row>
    <row r="59" spans="1:10" ht="18.75" x14ac:dyDescent="0.3">
      <c r="A59" s="115" t="s">
        <v>134</v>
      </c>
      <c r="B59" s="89" t="s">
        <v>1571</v>
      </c>
      <c r="C59" s="90">
        <v>7.9999999999999974E-2</v>
      </c>
      <c r="D59" s="90">
        <v>0</v>
      </c>
      <c r="E59" s="90">
        <v>7.9999999999999974E-2</v>
      </c>
      <c r="F59" s="90">
        <v>0</v>
      </c>
      <c r="G59" s="90"/>
      <c r="H59" s="90"/>
      <c r="I59" s="90"/>
      <c r="J59" s="116"/>
    </row>
    <row r="60" spans="1:10" ht="18.75" x14ac:dyDescent="0.3">
      <c r="A60" s="115" t="s">
        <v>136</v>
      </c>
      <c r="B60" s="89" t="s">
        <v>1572</v>
      </c>
      <c r="C60" s="90">
        <v>15.516209712000002</v>
      </c>
      <c r="D60" s="90">
        <v>0</v>
      </c>
      <c r="E60" s="90">
        <v>15.516209712000002</v>
      </c>
      <c r="F60" s="90">
        <v>0</v>
      </c>
      <c r="G60" s="90"/>
      <c r="H60" s="90"/>
      <c r="I60" s="90"/>
      <c r="J60" s="116"/>
    </row>
    <row r="61" spans="1:10" ht="18.75" x14ac:dyDescent="0.3">
      <c r="A61" s="115" t="s">
        <v>137</v>
      </c>
      <c r="B61" s="89" t="s">
        <v>1573</v>
      </c>
      <c r="C61" s="90">
        <v>3.6857687139999999</v>
      </c>
      <c r="D61" s="90">
        <v>0</v>
      </c>
      <c r="E61" s="90">
        <v>3.6857687139999999</v>
      </c>
      <c r="F61" s="90">
        <v>0</v>
      </c>
      <c r="G61" s="90"/>
      <c r="H61" s="90"/>
      <c r="I61" s="90"/>
      <c r="J61" s="116"/>
    </row>
    <row r="62" spans="1:10" ht="18.75" x14ac:dyDescent="0.3">
      <c r="A62" s="115" t="s">
        <v>138</v>
      </c>
      <c r="B62" s="89" t="s">
        <v>1574</v>
      </c>
      <c r="C62" s="90">
        <v>3.2204999999999995</v>
      </c>
      <c r="D62" s="90">
        <v>0</v>
      </c>
      <c r="E62" s="90">
        <v>3.2204999999999995</v>
      </c>
      <c r="F62" s="90">
        <v>0</v>
      </c>
      <c r="G62" s="90"/>
      <c r="H62" s="90"/>
      <c r="I62" s="90"/>
      <c r="J62" s="116"/>
    </row>
    <row r="63" spans="1:10" ht="18.75" x14ac:dyDescent="0.3">
      <c r="A63" s="115" t="s">
        <v>139</v>
      </c>
      <c r="B63" s="89" t="s">
        <v>1575</v>
      </c>
      <c r="C63" s="90">
        <v>0.84284510599999951</v>
      </c>
      <c r="D63" s="90">
        <v>0</v>
      </c>
      <c r="E63" s="90">
        <v>0.84284510599999951</v>
      </c>
      <c r="F63" s="90">
        <v>0</v>
      </c>
      <c r="G63" s="90"/>
      <c r="H63" s="90"/>
      <c r="I63" s="90"/>
      <c r="J63" s="116"/>
    </row>
    <row r="64" spans="1:10" ht="18.75" x14ac:dyDescent="0.3">
      <c r="A64" s="115" t="s">
        <v>140</v>
      </c>
      <c r="B64" s="89" t="s">
        <v>1576</v>
      </c>
      <c r="C64" s="90">
        <v>0</v>
      </c>
      <c r="D64" s="90">
        <v>0</v>
      </c>
      <c r="E64" s="90">
        <v>0</v>
      </c>
      <c r="F64" s="90">
        <v>0</v>
      </c>
      <c r="G64" s="90"/>
      <c r="H64" s="90"/>
      <c r="I64" s="90"/>
      <c r="J64" s="116"/>
    </row>
    <row r="65" spans="1:10" ht="18.75" x14ac:dyDescent="0.3">
      <c r="A65" s="115" t="s">
        <v>141</v>
      </c>
      <c r="B65" s="89" t="s">
        <v>1577</v>
      </c>
      <c r="C65" s="90">
        <v>43.639695827000004</v>
      </c>
      <c r="D65" s="90">
        <v>0</v>
      </c>
      <c r="E65" s="90">
        <v>43.639695827000004</v>
      </c>
      <c r="F65" s="90">
        <v>0</v>
      </c>
      <c r="G65" s="90"/>
      <c r="H65" s="90"/>
      <c r="I65" s="90"/>
      <c r="J65" s="116"/>
    </row>
    <row r="66" spans="1:10" ht="18.75" x14ac:dyDescent="0.3">
      <c r="A66" s="115" t="s">
        <v>142</v>
      </c>
      <c r="B66" s="89" t="s">
        <v>1578</v>
      </c>
      <c r="C66" s="90">
        <v>51.472993561999992</v>
      </c>
      <c r="D66" s="90">
        <v>0</v>
      </c>
      <c r="E66" s="90">
        <v>51.472993561999992</v>
      </c>
      <c r="F66" s="90">
        <v>0</v>
      </c>
      <c r="G66" s="90"/>
      <c r="H66" s="90"/>
      <c r="I66" s="90"/>
      <c r="J66" s="116"/>
    </row>
    <row r="67" spans="1:10" ht="18.75" x14ac:dyDescent="0.3">
      <c r="A67" s="115" t="s">
        <v>143</v>
      </c>
      <c r="B67" s="89" t="s">
        <v>1579</v>
      </c>
      <c r="C67" s="90">
        <v>20.409485946792842</v>
      </c>
      <c r="D67" s="90">
        <v>0</v>
      </c>
      <c r="E67" s="90">
        <v>20.409485946792842</v>
      </c>
      <c r="F67" s="90">
        <v>0</v>
      </c>
      <c r="G67" s="90"/>
      <c r="H67" s="90"/>
      <c r="I67" s="90"/>
      <c r="J67" s="116"/>
    </row>
    <row r="68" spans="1:10" ht="18.75" x14ac:dyDescent="0.3">
      <c r="A68" s="115" t="s">
        <v>144</v>
      </c>
      <c r="B68" s="89" t="s">
        <v>1580</v>
      </c>
      <c r="C68" s="90">
        <v>206.27297558600003</v>
      </c>
      <c r="D68" s="90">
        <v>39.314413475000002</v>
      </c>
      <c r="E68" s="90">
        <v>206.27297558600003</v>
      </c>
      <c r="F68" s="90">
        <v>0</v>
      </c>
      <c r="G68" s="90"/>
      <c r="H68" s="90"/>
      <c r="I68" s="90"/>
      <c r="J68" s="116"/>
    </row>
    <row r="69" spans="1:10" ht="18.75" x14ac:dyDescent="0.3">
      <c r="A69" s="115" t="s">
        <v>145</v>
      </c>
      <c r="B69" s="89" t="s">
        <v>1581</v>
      </c>
      <c r="C69" s="90">
        <v>37.276536287200003</v>
      </c>
      <c r="D69" s="90">
        <v>0</v>
      </c>
      <c r="E69" s="90">
        <v>37.276536287200003</v>
      </c>
      <c r="F69" s="90">
        <v>0</v>
      </c>
      <c r="G69" s="90"/>
      <c r="H69" s="90"/>
      <c r="I69" s="90"/>
      <c r="J69" s="116"/>
    </row>
    <row r="70" spans="1:10" ht="18.75" x14ac:dyDescent="0.3">
      <c r="A70" s="115" t="s">
        <v>146</v>
      </c>
      <c r="B70" s="89" t="s">
        <v>1582</v>
      </c>
      <c r="C70" s="90">
        <v>0.18422214220097288</v>
      </c>
      <c r="D70" s="90">
        <v>0</v>
      </c>
      <c r="E70" s="90">
        <v>0.18422214220097288</v>
      </c>
      <c r="F70" s="90">
        <v>0</v>
      </c>
      <c r="G70" s="90"/>
      <c r="H70" s="90"/>
      <c r="I70" s="90"/>
      <c r="J70" s="116"/>
    </row>
    <row r="71" spans="1:10" ht="18.75" x14ac:dyDescent="0.3">
      <c r="A71" s="115" t="s">
        <v>147</v>
      </c>
      <c r="B71" s="89" t="s">
        <v>1583</v>
      </c>
      <c r="C71" s="90">
        <v>0.15669983999999998</v>
      </c>
      <c r="D71" s="90">
        <v>0</v>
      </c>
      <c r="E71" s="90">
        <v>0.15669983999999998</v>
      </c>
      <c r="F71" s="90">
        <v>0</v>
      </c>
      <c r="G71" s="90"/>
      <c r="H71" s="90"/>
      <c r="I71" s="90"/>
      <c r="J71" s="116"/>
    </row>
    <row r="72" spans="1:10" ht="18.75" x14ac:dyDescent="0.3">
      <c r="A72" s="115" t="s">
        <v>148</v>
      </c>
      <c r="B72" s="89" t="s">
        <v>1584</v>
      </c>
      <c r="C72" s="90">
        <v>0.24279662460175286</v>
      </c>
      <c r="D72" s="90">
        <v>0</v>
      </c>
      <c r="E72" s="90">
        <v>0.24279662460175286</v>
      </c>
      <c r="F72" s="90">
        <v>0</v>
      </c>
      <c r="G72" s="90"/>
      <c r="H72" s="90"/>
      <c r="I72" s="90"/>
      <c r="J72" s="116"/>
    </row>
    <row r="73" spans="1:10" ht="18.75" x14ac:dyDescent="0.3">
      <c r="A73" s="115" t="s">
        <v>149</v>
      </c>
      <c r="B73" s="89" t="s">
        <v>1585</v>
      </c>
      <c r="C73" s="90">
        <v>1.3436661650000001</v>
      </c>
      <c r="D73" s="90">
        <v>0</v>
      </c>
      <c r="E73" s="90">
        <v>1.3436661650000001</v>
      </c>
      <c r="F73" s="90">
        <v>0</v>
      </c>
      <c r="G73" s="90"/>
      <c r="H73" s="90"/>
      <c r="I73" s="90"/>
      <c r="J73" s="116"/>
    </row>
    <row r="74" spans="1:10" ht="18.75" x14ac:dyDescent="0.3">
      <c r="A74" s="115" t="s">
        <v>150</v>
      </c>
      <c r="B74" s="89" t="s">
        <v>1586</v>
      </c>
      <c r="C74" s="90">
        <v>0.98999999435823527</v>
      </c>
      <c r="D74" s="90">
        <v>0</v>
      </c>
      <c r="E74" s="90">
        <v>0.98999999435823527</v>
      </c>
      <c r="F74" s="90">
        <v>0</v>
      </c>
      <c r="G74" s="90"/>
      <c r="H74" s="90"/>
      <c r="I74" s="90"/>
      <c r="J74" s="116"/>
    </row>
    <row r="75" spans="1:10" ht="18.75" x14ac:dyDescent="0.3">
      <c r="A75" s="115" t="s">
        <v>151</v>
      </c>
      <c r="B75" s="89" t="s">
        <v>1587</v>
      </c>
      <c r="C75" s="90">
        <v>1.87</v>
      </c>
      <c r="D75" s="90">
        <v>0</v>
      </c>
      <c r="E75" s="90">
        <v>1.87</v>
      </c>
      <c r="F75" s="90">
        <v>0</v>
      </c>
      <c r="G75" s="90"/>
      <c r="H75" s="90"/>
      <c r="I75" s="90"/>
      <c r="J75" s="116"/>
    </row>
    <row r="76" spans="1:10" ht="18.75" x14ac:dyDescent="0.3">
      <c r="A76" s="115" t="s">
        <v>152</v>
      </c>
      <c r="B76" s="89" t="s">
        <v>1588</v>
      </c>
      <c r="C76" s="90">
        <v>128.49989154275374</v>
      </c>
      <c r="D76" s="90">
        <v>0</v>
      </c>
      <c r="E76" s="90">
        <v>128.49989154275374</v>
      </c>
      <c r="F76" s="90">
        <v>0</v>
      </c>
      <c r="G76" s="90"/>
      <c r="H76" s="90"/>
      <c r="I76" s="90"/>
      <c r="J76" s="116"/>
    </row>
    <row r="77" spans="1:10" ht="18.75" x14ac:dyDescent="0.3">
      <c r="A77" s="115" t="s">
        <v>1589</v>
      </c>
      <c r="B77" s="89" t="s">
        <v>1590</v>
      </c>
      <c r="C77" s="90">
        <v>10.994</v>
      </c>
      <c r="D77" s="90">
        <v>0</v>
      </c>
      <c r="E77" s="90">
        <v>10.994</v>
      </c>
      <c r="F77" s="90">
        <v>0</v>
      </c>
      <c r="G77" s="90"/>
      <c r="H77" s="90"/>
      <c r="I77" s="90"/>
      <c r="J77" s="116"/>
    </row>
    <row r="78" spans="1:10" ht="18.75" x14ac:dyDescent="0.3">
      <c r="A78" s="115" t="s">
        <v>154</v>
      </c>
      <c r="B78" s="89" t="s">
        <v>1591</v>
      </c>
      <c r="C78" s="90">
        <v>11.652915228730482</v>
      </c>
      <c r="D78" s="90">
        <v>0</v>
      </c>
      <c r="E78" s="90">
        <v>11.652915228730482</v>
      </c>
      <c r="F78" s="90">
        <v>0</v>
      </c>
      <c r="G78" s="90"/>
      <c r="H78" s="90"/>
      <c r="I78" s="90"/>
      <c r="J78" s="116"/>
    </row>
    <row r="79" spans="1:10" ht="18.75" x14ac:dyDescent="0.3">
      <c r="A79" s="115" t="s">
        <v>155</v>
      </c>
      <c r="B79" s="89" t="s">
        <v>1592</v>
      </c>
      <c r="C79" s="90">
        <v>4.2110000000000003</v>
      </c>
      <c r="D79" s="90">
        <v>0</v>
      </c>
      <c r="E79" s="90">
        <v>4.2110000000000003</v>
      </c>
      <c r="F79" s="90">
        <v>0</v>
      </c>
      <c r="G79" s="90"/>
      <c r="H79" s="90"/>
      <c r="I79" s="90"/>
      <c r="J79" s="116"/>
    </row>
    <row r="80" spans="1:10" ht="18.75" x14ac:dyDescent="0.3">
      <c r="A80" s="115" t="s">
        <v>156</v>
      </c>
      <c r="B80" s="89" t="s">
        <v>1593</v>
      </c>
      <c r="C80" s="90">
        <v>39.315398183960163</v>
      </c>
      <c r="D80" s="90">
        <v>0</v>
      </c>
      <c r="E80" s="90">
        <v>39.315398183960163</v>
      </c>
      <c r="F80" s="90">
        <v>0</v>
      </c>
      <c r="G80" s="90"/>
      <c r="H80" s="90"/>
      <c r="I80" s="90"/>
      <c r="J80" s="116"/>
    </row>
    <row r="81" spans="1:10" ht="18.75" x14ac:dyDescent="0.3">
      <c r="A81" s="115" t="s">
        <v>157</v>
      </c>
      <c r="B81" s="89" t="s">
        <v>1594</v>
      </c>
      <c r="C81" s="90">
        <v>12.882993000001152</v>
      </c>
      <c r="D81" s="90">
        <v>0</v>
      </c>
      <c r="E81" s="90">
        <v>12.882993000001152</v>
      </c>
      <c r="F81" s="90">
        <v>0</v>
      </c>
      <c r="G81" s="90"/>
      <c r="H81" s="90"/>
      <c r="I81" s="90"/>
      <c r="J81" s="116"/>
    </row>
    <row r="82" spans="1:10" ht="18.75" x14ac:dyDescent="0.3">
      <c r="A82" s="115" t="s">
        <v>159</v>
      </c>
      <c r="B82" s="89" t="s">
        <v>1595</v>
      </c>
      <c r="C82" s="90">
        <v>3.6392959999999999</v>
      </c>
      <c r="D82" s="90">
        <v>0</v>
      </c>
      <c r="E82" s="90">
        <v>3.6392959999999999</v>
      </c>
      <c r="F82" s="90">
        <v>0</v>
      </c>
      <c r="G82" s="90"/>
      <c r="H82" s="90"/>
      <c r="I82" s="90"/>
      <c r="J82" s="116"/>
    </row>
    <row r="83" spans="1:10" ht="18.75" x14ac:dyDescent="0.3">
      <c r="A83" s="115" t="s">
        <v>160</v>
      </c>
      <c r="B83" s="89" t="s">
        <v>1596</v>
      </c>
      <c r="C83" s="90">
        <v>3.0630553497999999</v>
      </c>
      <c r="D83" s="90">
        <v>0</v>
      </c>
      <c r="E83" s="90">
        <v>3.0630553497999999</v>
      </c>
      <c r="F83" s="90">
        <v>0</v>
      </c>
      <c r="G83" s="90"/>
      <c r="H83" s="90"/>
      <c r="I83" s="90"/>
      <c r="J83" s="116"/>
    </row>
    <row r="84" spans="1:10" ht="18.75" x14ac:dyDescent="0.3">
      <c r="A84" s="115" t="s">
        <v>161</v>
      </c>
      <c r="B84" s="89" t="s">
        <v>1597</v>
      </c>
      <c r="C84" s="90">
        <v>4.0199999999999996</v>
      </c>
      <c r="D84" s="90">
        <v>0</v>
      </c>
      <c r="E84" s="90">
        <v>4.0199999999999996</v>
      </c>
      <c r="F84" s="90">
        <v>0</v>
      </c>
      <c r="G84" s="90"/>
      <c r="H84" s="90"/>
      <c r="I84" s="90"/>
      <c r="J84" s="116"/>
    </row>
    <row r="85" spans="1:10" ht="18.75" x14ac:dyDescent="0.3">
      <c r="A85" s="115" t="s">
        <v>162</v>
      </c>
      <c r="B85" s="89" t="s">
        <v>1598</v>
      </c>
      <c r="C85" s="90">
        <v>3.8081405789999998</v>
      </c>
      <c r="D85" s="90">
        <v>0</v>
      </c>
      <c r="E85" s="90">
        <v>3.8081405789999998</v>
      </c>
      <c r="F85" s="90">
        <v>0</v>
      </c>
      <c r="G85" s="90"/>
      <c r="H85" s="90"/>
      <c r="I85" s="90"/>
      <c r="J85" s="116"/>
    </row>
    <row r="86" spans="1:10" ht="18.75" x14ac:dyDescent="0.3">
      <c r="A86" s="115" t="s">
        <v>301</v>
      </c>
      <c r="B86" s="89" t="s">
        <v>1599</v>
      </c>
      <c r="C86" s="90">
        <v>5.3</v>
      </c>
      <c r="D86" s="90">
        <v>0</v>
      </c>
      <c r="E86" s="90">
        <v>5.3</v>
      </c>
      <c r="F86" s="90">
        <v>0</v>
      </c>
      <c r="G86" s="90"/>
      <c r="H86" s="90"/>
      <c r="I86" s="90"/>
      <c r="J86" s="116"/>
    </row>
    <row r="87" spans="1:10" ht="18.75" x14ac:dyDescent="0.3">
      <c r="A87" s="115" t="s">
        <v>302</v>
      </c>
      <c r="B87" s="89" t="s">
        <v>1600</v>
      </c>
      <c r="C87" s="90">
        <v>14.202320974146271</v>
      </c>
      <c r="D87" s="90">
        <v>0</v>
      </c>
      <c r="E87" s="90">
        <v>14.202320974146271</v>
      </c>
      <c r="F87" s="90">
        <v>0</v>
      </c>
      <c r="G87" s="90"/>
      <c r="H87" s="90"/>
      <c r="I87" s="90"/>
      <c r="J87" s="116"/>
    </row>
    <row r="88" spans="1:10" ht="18.75" x14ac:dyDescent="0.3">
      <c r="A88" s="115" t="s">
        <v>303</v>
      </c>
      <c r="B88" s="89" t="s">
        <v>1601</v>
      </c>
      <c r="C88" s="90">
        <v>3.9</v>
      </c>
      <c r="D88" s="90">
        <v>0</v>
      </c>
      <c r="E88" s="90">
        <v>3.9</v>
      </c>
      <c r="F88" s="90">
        <v>0</v>
      </c>
      <c r="G88" s="90"/>
      <c r="H88" s="90"/>
      <c r="I88" s="90"/>
      <c r="J88" s="116"/>
    </row>
    <row r="89" spans="1:10" ht="18.75" x14ac:dyDescent="0.3">
      <c r="A89" s="115" t="s">
        <v>304</v>
      </c>
      <c r="B89" s="89" t="s">
        <v>1602</v>
      </c>
      <c r="C89" s="90">
        <v>2.2799999999999998</v>
      </c>
      <c r="D89" s="90">
        <v>0</v>
      </c>
      <c r="E89" s="90">
        <v>2.2799999999999998</v>
      </c>
      <c r="F89" s="90">
        <v>0</v>
      </c>
      <c r="G89" s="90"/>
      <c r="H89" s="90"/>
      <c r="I89" s="90"/>
      <c r="J89" s="116"/>
    </row>
    <row r="90" spans="1:10" ht="18.75" x14ac:dyDescent="0.3">
      <c r="A90" s="115" t="s">
        <v>305</v>
      </c>
      <c r="B90" s="89" t="s">
        <v>1603</v>
      </c>
      <c r="C90" s="90">
        <v>15.944357</v>
      </c>
      <c r="D90" s="90">
        <v>0</v>
      </c>
      <c r="E90" s="90">
        <v>15.944357</v>
      </c>
      <c r="F90" s="90">
        <v>0</v>
      </c>
      <c r="G90" s="90"/>
      <c r="H90" s="90"/>
      <c r="I90" s="90"/>
      <c r="J90" s="116"/>
    </row>
    <row r="91" spans="1:10" ht="18.75" x14ac:dyDescent="0.3">
      <c r="A91" s="115" t="s">
        <v>306</v>
      </c>
      <c r="B91" s="89" t="s">
        <v>1604</v>
      </c>
      <c r="C91" s="90">
        <v>5.6280719999999972E-2</v>
      </c>
      <c r="D91" s="90">
        <v>0</v>
      </c>
      <c r="E91" s="90">
        <v>5.6280719999999972E-2</v>
      </c>
      <c r="F91" s="90">
        <v>0</v>
      </c>
      <c r="G91" s="90"/>
      <c r="H91" s="90"/>
      <c r="I91" s="90"/>
      <c r="J91" s="116"/>
    </row>
    <row r="92" spans="1:10" ht="18.75" x14ac:dyDescent="0.3">
      <c r="A92" s="115" t="s">
        <v>307</v>
      </c>
      <c r="B92" s="89" t="s">
        <v>1605</v>
      </c>
      <c r="C92" s="90">
        <v>0.55224000000000006</v>
      </c>
      <c r="D92" s="90">
        <v>0</v>
      </c>
      <c r="E92" s="90">
        <v>0.55224000000000006</v>
      </c>
      <c r="F92" s="90">
        <v>0</v>
      </c>
      <c r="G92" s="90"/>
      <c r="H92" s="90"/>
      <c r="I92" s="90"/>
      <c r="J92" s="116"/>
    </row>
    <row r="93" spans="1:10" ht="18.75" x14ac:dyDescent="0.3">
      <c r="A93" s="115" t="s">
        <v>308</v>
      </c>
      <c r="B93" s="89" t="s">
        <v>1606</v>
      </c>
      <c r="C93" s="90">
        <v>1.9000000000000004</v>
      </c>
      <c r="D93" s="90">
        <v>0</v>
      </c>
      <c r="E93" s="90">
        <v>1.9000000000000004</v>
      </c>
      <c r="F93" s="90">
        <v>0</v>
      </c>
      <c r="G93" s="90"/>
      <c r="H93" s="90"/>
      <c r="I93" s="90"/>
      <c r="J93" s="116"/>
    </row>
    <row r="94" spans="1:10" ht="18.75" x14ac:dyDescent="0.3">
      <c r="A94" s="115" t="s">
        <v>309</v>
      </c>
      <c r="B94" s="89" t="s">
        <v>1607</v>
      </c>
      <c r="C94" s="90">
        <v>6.1665627790000013</v>
      </c>
      <c r="D94" s="90">
        <v>0</v>
      </c>
      <c r="E94" s="90">
        <v>6.1665627790000013</v>
      </c>
      <c r="F94" s="90">
        <v>0</v>
      </c>
      <c r="G94" s="90"/>
      <c r="H94" s="90"/>
      <c r="I94" s="90"/>
      <c r="J94" s="116"/>
    </row>
    <row r="95" spans="1:10" ht="18.75" x14ac:dyDescent="0.3">
      <c r="A95" s="115" t="s">
        <v>310</v>
      </c>
      <c r="B95" s="89" t="s">
        <v>1608</v>
      </c>
      <c r="C95" s="90">
        <v>3.905859</v>
      </c>
      <c r="D95" s="90">
        <v>106.29340571497315</v>
      </c>
      <c r="E95" s="90">
        <v>3.905859</v>
      </c>
      <c r="F95" s="90">
        <v>104.74775349420494</v>
      </c>
      <c r="G95" s="90"/>
      <c r="H95" s="90"/>
      <c r="I95" s="90"/>
      <c r="J95" s="116"/>
    </row>
    <row r="96" spans="1:10" ht="18.75" x14ac:dyDescent="0.3">
      <c r="A96" s="115" t="s">
        <v>312</v>
      </c>
      <c r="B96" s="89" t="s">
        <v>1609</v>
      </c>
      <c r="C96" s="90">
        <v>10.927</v>
      </c>
      <c r="D96" s="90">
        <v>0</v>
      </c>
      <c r="E96" s="90">
        <v>10.927</v>
      </c>
      <c r="F96" s="90">
        <v>0</v>
      </c>
      <c r="G96" s="90"/>
      <c r="H96" s="90"/>
      <c r="I96" s="90"/>
      <c r="J96" s="116"/>
    </row>
    <row r="97" spans="1:10" ht="18.75" x14ac:dyDescent="0.3">
      <c r="A97" s="115" t="s">
        <v>1610</v>
      </c>
      <c r="B97" s="89" t="s">
        <v>1611</v>
      </c>
      <c r="C97" s="90">
        <v>26.567562166599998</v>
      </c>
      <c r="D97" s="90">
        <v>0</v>
      </c>
      <c r="E97" s="90">
        <v>26.567562166599998</v>
      </c>
      <c r="F97" s="90">
        <v>0</v>
      </c>
      <c r="G97" s="90"/>
      <c r="H97" s="90"/>
      <c r="I97" s="90"/>
      <c r="J97" s="116"/>
    </row>
    <row r="98" spans="1:10" ht="18.75" x14ac:dyDescent="0.3">
      <c r="A98" s="115" t="s">
        <v>1612</v>
      </c>
      <c r="B98" s="89" t="s">
        <v>1613</v>
      </c>
      <c r="C98" s="90">
        <v>17.873849789000001</v>
      </c>
      <c r="D98" s="90">
        <v>0</v>
      </c>
      <c r="E98" s="90">
        <v>17.873849789000001</v>
      </c>
      <c r="F98" s="90">
        <v>0</v>
      </c>
      <c r="G98" s="90"/>
      <c r="H98" s="90"/>
      <c r="I98" s="90"/>
      <c r="J98" s="116"/>
    </row>
    <row r="99" spans="1:10" ht="18.75" x14ac:dyDescent="0.3">
      <c r="A99" s="118" t="s">
        <v>1614</v>
      </c>
      <c r="B99" s="119" t="s">
        <v>1615</v>
      </c>
      <c r="C99" s="120">
        <v>545.01591021093611</v>
      </c>
      <c r="D99" s="120">
        <v>0</v>
      </c>
      <c r="E99" s="120">
        <v>545.01591021093611</v>
      </c>
      <c r="F99" s="120">
        <v>0</v>
      </c>
      <c r="G99" s="120"/>
      <c r="H99" s="120"/>
      <c r="I99" s="120"/>
      <c r="J99" s="121"/>
    </row>
    <row r="100" spans="1:10" ht="18.75" x14ac:dyDescent="0.3">
      <c r="A100" s="122"/>
      <c r="B100" s="123"/>
      <c r="C100" s="124">
        <f>SUBTOTAL(109,MTEF2[Devt 
21-22])</f>
        <v>7284.096898946088</v>
      </c>
      <c r="D100" s="124">
        <f>SUBTOTAL(109,MTEF2[Ext. Fin
21-22])</f>
        <v>8574.8737174137132</v>
      </c>
      <c r="E100" s="124">
        <f>SUBTOTAL(109,MTEF2[Devt 
22-23])</f>
        <v>7284.096898946088</v>
      </c>
      <c r="F100" s="124">
        <f>SUBTOTAL(109,MTEF2[Ext. Fin
22-23])</f>
        <v>9134.4662194587781</v>
      </c>
      <c r="G100" s="124"/>
      <c r="H100" s="124"/>
      <c r="I100" s="124"/>
      <c r="J100" s="125"/>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216"/>
  <sheetViews>
    <sheetView workbookViewId="0">
      <selection activeCell="A15" sqref="A15"/>
    </sheetView>
  </sheetViews>
  <sheetFormatPr defaultColWidth="15.5703125" defaultRowHeight="15" x14ac:dyDescent="0.25"/>
  <cols>
    <col min="1" max="1" width="64" bestFit="1" customWidth="1"/>
    <col min="2" max="2" width="42.42578125" bestFit="1" customWidth="1"/>
    <col min="3" max="3" width="8.42578125" bestFit="1" customWidth="1"/>
    <col min="4" max="4" width="80.7109375" bestFit="1" customWidth="1"/>
    <col min="5" max="5" width="16.140625" bestFit="1" customWidth="1"/>
    <col min="6" max="6" width="24.140625" bestFit="1" customWidth="1"/>
    <col min="7" max="7" width="23.140625" bestFit="1" customWidth="1"/>
    <col min="8" max="8" width="25.5703125" bestFit="1" customWidth="1"/>
    <col min="9" max="9" width="20.5703125" bestFit="1" customWidth="1"/>
    <col min="10" max="10" width="28.85546875" bestFit="1" customWidth="1"/>
    <col min="11" max="11" width="27.5703125" bestFit="1" customWidth="1"/>
    <col min="12" max="12" width="53.85546875" bestFit="1" customWidth="1"/>
    <col min="13" max="13" width="54.42578125" bestFit="1" customWidth="1"/>
    <col min="14" max="14" width="43.85546875" bestFit="1" customWidth="1"/>
    <col min="15" max="15" width="49.42578125" bestFit="1" customWidth="1"/>
    <col min="16" max="19" width="18.28515625" bestFit="1" customWidth="1"/>
    <col min="20" max="20" width="26.140625" bestFit="1" customWidth="1"/>
    <col min="21" max="21" width="19.7109375" bestFit="1" customWidth="1"/>
    <col min="22" max="22" width="47.5703125" bestFit="1" customWidth="1"/>
    <col min="23" max="23" width="80.7109375" bestFit="1" customWidth="1"/>
    <col min="24" max="24" width="24.42578125" bestFit="1" customWidth="1"/>
    <col min="25" max="25" width="35.28515625" bestFit="1" customWidth="1"/>
    <col min="26" max="26" width="8.140625" bestFit="1" customWidth="1"/>
    <col min="27" max="27" width="13.42578125" bestFit="1" customWidth="1"/>
  </cols>
  <sheetData>
    <row r="1" spans="1:27" x14ac:dyDescent="0.25">
      <c r="A1" t="s">
        <v>333</v>
      </c>
      <c r="B1" t="s">
        <v>1292</v>
      </c>
      <c r="C1" t="s">
        <v>1293</v>
      </c>
      <c r="D1" t="s">
        <v>1</v>
      </c>
      <c r="E1" t="s">
        <v>2</v>
      </c>
      <c r="F1" t="s">
        <v>3</v>
      </c>
      <c r="G1" t="s">
        <v>4</v>
      </c>
      <c r="H1" t="s">
        <v>5</v>
      </c>
      <c r="I1" t="s">
        <v>6</v>
      </c>
      <c r="J1" t="s">
        <v>7</v>
      </c>
      <c r="K1" t="s">
        <v>8</v>
      </c>
      <c r="L1" t="s">
        <v>334</v>
      </c>
      <c r="M1" t="s">
        <v>335</v>
      </c>
      <c r="N1" t="s">
        <v>336</v>
      </c>
      <c r="O1" t="s">
        <v>337</v>
      </c>
      <c r="P1" t="s">
        <v>9</v>
      </c>
      <c r="Q1" t="s">
        <v>10</v>
      </c>
      <c r="R1" t="s">
        <v>11</v>
      </c>
      <c r="S1" t="s">
        <v>12</v>
      </c>
      <c r="T1" t="s">
        <v>13</v>
      </c>
      <c r="U1" t="s">
        <v>14</v>
      </c>
      <c r="V1" t="s">
        <v>15</v>
      </c>
      <c r="W1" t="s">
        <v>338</v>
      </c>
      <c r="X1" t="s">
        <v>16</v>
      </c>
      <c r="Y1" t="s">
        <v>17</v>
      </c>
      <c r="Z1" t="s">
        <v>1288</v>
      </c>
      <c r="AA1" t="s">
        <v>1289</v>
      </c>
    </row>
    <row r="2" spans="1:27" x14ac:dyDescent="0.25">
      <c r="A2" s="10" t="s">
        <v>339</v>
      </c>
      <c r="B2" s="10" t="s">
        <v>65</v>
      </c>
      <c r="C2" s="10"/>
      <c r="D2" s="10" t="s">
        <v>34</v>
      </c>
      <c r="E2" s="10" t="s">
        <v>19</v>
      </c>
      <c r="F2" s="11">
        <v>41091</v>
      </c>
      <c r="G2" s="11">
        <v>44742</v>
      </c>
      <c r="H2" s="10" t="s">
        <v>35</v>
      </c>
      <c r="I2" s="10" t="s">
        <v>36</v>
      </c>
      <c r="J2" s="12">
        <v>306180000000</v>
      </c>
      <c r="K2" s="12">
        <v>18931000000</v>
      </c>
      <c r="L2" s="12">
        <v>0</v>
      </c>
      <c r="M2" s="12">
        <v>18560000000</v>
      </c>
      <c r="N2" s="12"/>
      <c r="O2" s="12">
        <v>18560000000</v>
      </c>
      <c r="P2" s="12">
        <v>0</v>
      </c>
      <c r="Q2" s="12">
        <v>0</v>
      </c>
      <c r="R2" s="12">
        <v>0</v>
      </c>
      <c r="S2" s="12">
        <v>0</v>
      </c>
      <c r="T2" s="12"/>
      <c r="U2" s="12">
        <v>343671000000</v>
      </c>
      <c r="V2" s="12">
        <v>1764000000000</v>
      </c>
      <c r="W2" s="10" t="s">
        <v>37</v>
      </c>
      <c r="X2" s="13"/>
      <c r="Y2" s="10" t="s">
        <v>23</v>
      </c>
      <c r="Z2" s="13"/>
      <c r="AA2" s="13"/>
    </row>
    <row r="3" spans="1:27" x14ac:dyDescent="0.25">
      <c r="A3" s="10" t="s">
        <v>339</v>
      </c>
      <c r="B3" s="10" t="s">
        <v>65</v>
      </c>
      <c r="C3" s="10"/>
      <c r="D3" s="10" t="s">
        <v>34</v>
      </c>
      <c r="E3" s="10" t="s">
        <v>25</v>
      </c>
      <c r="F3" s="11">
        <v>41091</v>
      </c>
      <c r="G3" s="11">
        <v>44742</v>
      </c>
      <c r="H3" s="10" t="s">
        <v>35</v>
      </c>
      <c r="I3" s="10" t="s">
        <v>36</v>
      </c>
      <c r="J3" s="12">
        <v>1580400000000</v>
      </c>
      <c r="K3" s="12">
        <v>165040000000</v>
      </c>
      <c r="L3" s="12"/>
      <c r="M3" s="12">
        <v>0</v>
      </c>
      <c r="N3" s="12">
        <v>110710000000</v>
      </c>
      <c r="O3" s="12">
        <v>110710000000</v>
      </c>
      <c r="P3" s="12">
        <v>0</v>
      </c>
      <c r="Q3" s="12">
        <v>0</v>
      </c>
      <c r="R3" s="12">
        <v>0</v>
      </c>
      <c r="S3" s="12">
        <v>0</v>
      </c>
      <c r="T3" s="12"/>
      <c r="U3" s="12">
        <v>1856150000000</v>
      </c>
      <c r="V3" s="12"/>
      <c r="W3" s="10" t="s">
        <v>37</v>
      </c>
      <c r="X3" s="13"/>
      <c r="Y3" s="10" t="s">
        <v>28</v>
      </c>
      <c r="Z3" s="13"/>
      <c r="AA3" s="13"/>
    </row>
    <row r="4" spans="1:27" x14ac:dyDescent="0.25">
      <c r="A4" s="10" t="s">
        <v>339</v>
      </c>
      <c r="B4" s="10" t="s">
        <v>65</v>
      </c>
      <c r="C4" s="10"/>
      <c r="D4" s="10" t="s">
        <v>38</v>
      </c>
      <c r="E4" s="10" t="s">
        <v>19</v>
      </c>
      <c r="F4" s="11">
        <v>40706</v>
      </c>
      <c r="G4" s="11">
        <v>44742</v>
      </c>
      <c r="H4" s="10" t="s">
        <v>20</v>
      </c>
      <c r="I4" s="10" t="s">
        <v>36</v>
      </c>
      <c r="J4" s="12">
        <v>911520000000</v>
      </c>
      <c r="K4" s="12">
        <v>29000000000</v>
      </c>
      <c r="L4" s="12">
        <v>0</v>
      </c>
      <c r="M4" s="12">
        <v>31000000000</v>
      </c>
      <c r="N4" s="12"/>
      <c r="O4" s="12">
        <v>31000000000</v>
      </c>
      <c r="P4" s="12"/>
      <c r="Q4" s="12"/>
      <c r="R4" s="12"/>
      <c r="S4" s="12"/>
      <c r="T4" s="12"/>
      <c r="U4" s="12">
        <v>971520000000</v>
      </c>
      <c r="V4" s="12">
        <v>5400000000000</v>
      </c>
      <c r="W4" s="10" t="s">
        <v>37</v>
      </c>
      <c r="X4" s="13"/>
      <c r="Y4" s="10"/>
      <c r="Z4" s="13"/>
      <c r="AA4" s="13"/>
    </row>
    <row r="5" spans="1:27" x14ac:dyDescent="0.25">
      <c r="A5" s="10" t="s">
        <v>339</v>
      </c>
      <c r="B5" s="10" t="s">
        <v>65</v>
      </c>
      <c r="C5" s="10"/>
      <c r="D5" s="10" t="s">
        <v>38</v>
      </c>
      <c r="E5" s="10" t="s">
        <v>25</v>
      </c>
      <c r="F5" s="11">
        <v>40706</v>
      </c>
      <c r="G5" s="11">
        <v>44742</v>
      </c>
      <c r="H5" s="10" t="s">
        <v>20</v>
      </c>
      <c r="I5" s="10" t="s">
        <v>36</v>
      </c>
      <c r="J5" s="12">
        <v>4492800000000</v>
      </c>
      <c r="K5" s="12">
        <v>654690000000</v>
      </c>
      <c r="L5" s="12">
        <v>0</v>
      </c>
      <c r="M5" s="12">
        <v>0</v>
      </c>
      <c r="N5" s="12">
        <v>0</v>
      </c>
      <c r="O5" s="12">
        <v>0</v>
      </c>
      <c r="P5" s="12">
        <v>0</v>
      </c>
      <c r="Q5" s="12">
        <v>0</v>
      </c>
      <c r="R5" s="12">
        <v>0</v>
      </c>
      <c r="S5" s="12"/>
      <c r="T5" s="12"/>
      <c r="U5" s="12">
        <v>5147490000000</v>
      </c>
      <c r="V5" s="12"/>
      <c r="W5" s="10" t="s">
        <v>37</v>
      </c>
      <c r="X5" s="13"/>
      <c r="Y5" s="10"/>
      <c r="Z5" s="13"/>
      <c r="AA5" s="13"/>
    </row>
    <row r="6" spans="1:27" x14ac:dyDescent="0.25">
      <c r="A6" s="10" t="s">
        <v>339</v>
      </c>
      <c r="B6" s="10" t="s">
        <v>65</v>
      </c>
      <c r="C6" s="10"/>
      <c r="D6" s="10" t="s">
        <v>39</v>
      </c>
      <c r="E6" s="10" t="s">
        <v>19</v>
      </c>
      <c r="F6" s="11">
        <v>42186</v>
      </c>
      <c r="G6" s="11">
        <v>44742</v>
      </c>
      <c r="H6" s="10" t="s">
        <v>40</v>
      </c>
      <c r="I6" s="10" t="s">
        <v>36</v>
      </c>
      <c r="J6" s="12">
        <v>13840000000</v>
      </c>
      <c r="K6" s="12">
        <v>2517000000</v>
      </c>
      <c r="L6" s="12">
        <v>0</v>
      </c>
      <c r="M6" s="12">
        <v>2517000000</v>
      </c>
      <c r="N6" s="12"/>
      <c r="O6" s="12">
        <v>2517000000</v>
      </c>
      <c r="P6" s="12">
        <v>0</v>
      </c>
      <c r="Q6" s="12">
        <v>0</v>
      </c>
      <c r="R6" s="12">
        <v>0</v>
      </c>
      <c r="S6" s="12"/>
      <c r="T6" s="12"/>
      <c r="U6" s="12">
        <v>18874000000</v>
      </c>
      <c r="V6" s="12">
        <v>319000000000</v>
      </c>
      <c r="W6" s="10" t="s">
        <v>37</v>
      </c>
      <c r="X6" s="13"/>
      <c r="Y6" s="10"/>
      <c r="Z6" s="13"/>
      <c r="AA6" s="13"/>
    </row>
    <row r="7" spans="1:27" x14ac:dyDescent="0.25">
      <c r="A7" s="10" t="s">
        <v>339</v>
      </c>
      <c r="B7" s="10" t="s">
        <v>65</v>
      </c>
      <c r="C7" s="10"/>
      <c r="D7" s="10" t="s">
        <v>39</v>
      </c>
      <c r="E7" s="10" t="s">
        <v>25</v>
      </c>
      <c r="F7" s="11">
        <v>42186</v>
      </c>
      <c r="G7" s="11">
        <v>44742</v>
      </c>
      <c r="H7" s="10" t="s">
        <v>40</v>
      </c>
      <c r="I7" s="10" t="s">
        <v>36</v>
      </c>
      <c r="J7" s="12">
        <v>2510000000</v>
      </c>
      <c r="K7" s="12">
        <v>114990000000</v>
      </c>
      <c r="L7" s="12"/>
      <c r="M7" s="12"/>
      <c r="N7" s="12">
        <v>15390000000</v>
      </c>
      <c r="O7" s="12">
        <v>15390000000</v>
      </c>
      <c r="P7" s="12">
        <v>0</v>
      </c>
      <c r="Q7" s="12">
        <v>0</v>
      </c>
      <c r="R7" s="12">
        <v>0</v>
      </c>
      <c r="S7" s="12"/>
      <c r="T7" s="12"/>
      <c r="U7" s="12">
        <v>132890000000</v>
      </c>
      <c r="V7" s="12"/>
      <c r="W7" s="10" t="s">
        <v>37</v>
      </c>
      <c r="X7" s="13"/>
      <c r="Y7" s="10"/>
      <c r="Z7" s="13"/>
      <c r="AA7" s="13"/>
    </row>
    <row r="8" spans="1:27" x14ac:dyDescent="0.25">
      <c r="A8" s="10" t="s">
        <v>339</v>
      </c>
      <c r="B8" s="10" t="s">
        <v>65</v>
      </c>
      <c r="C8" s="10"/>
      <c r="D8" s="10" t="s">
        <v>41</v>
      </c>
      <c r="E8" s="10" t="s">
        <v>19</v>
      </c>
      <c r="F8" s="11">
        <v>42186</v>
      </c>
      <c r="G8" s="11">
        <v>44742</v>
      </c>
      <c r="H8" s="10" t="s">
        <v>20</v>
      </c>
      <c r="I8" s="10" t="s">
        <v>36</v>
      </c>
      <c r="J8" s="12">
        <v>6500000000</v>
      </c>
      <c r="K8" s="12">
        <v>12293211000</v>
      </c>
      <c r="L8" s="12">
        <v>0</v>
      </c>
      <c r="M8" s="12">
        <v>12293211000</v>
      </c>
      <c r="N8" s="12"/>
      <c r="O8" s="12">
        <v>12293211000</v>
      </c>
      <c r="P8" s="12">
        <v>0</v>
      </c>
      <c r="Q8" s="12">
        <v>0</v>
      </c>
      <c r="R8" s="12">
        <v>0</v>
      </c>
      <c r="S8" s="12"/>
      <c r="T8" s="12"/>
      <c r="U8" s="12">
        <v>31086422000</v>
      </c>
      <c r="V8" s="12">
        <v>67150000000</v>
      </c>
      <c r="W8" s="10" t="s">
        <v>37</v>
      </c>
      <c r="X8" s="13"/>
      <c r="Y8" s="10"/>
      <c r="Z8" s="13"/>
      <c r="AA8" s="13"/>
    </row>
    <row r="9" spans="1:27" x14ac:dyDescent="0.25">
      <c r="A9" s="10" t="s">
        <v>339</v>
      </c>
      <c r="B9" s="10" t="s">
        <v>65</v>
      </c>
      <c r="C9" s="10"/>
      <c r="D9" s="10" t="s">
        <v>42</v>
      </c>
      <c r="E9" s="10" t="s">
        <v>19</v>
      </c>
      <c r="F9" s="11">
        <v>41030</v>
      </c>
      <c r="G9" s="11">
        <v>44742</v>
      </c>
      <c r="H9" s="10" t="s">
        <v>35</v>
      </c>
      <c r="I9" s="10" t="s">
        <v>36</v>
      </c>
      <c r="J9" s="12">
        <v>14270000000</v>
      </c>
      <c r="K9" s="12">
        <v>2000000000</v>
      </c>
      <c r="L9" s="12"/>
      <c r="M9" s="12">
        <v>1500000000</v>
      </c>
      <c r="N9" s="12"/>
      <c r="O9" s="12">
        <v>1500000000</v>
      </c>
      <c r="P9" s="12">
        <v>0</v>
      </c>
      <c r="Q9" s="12">
        <v>0</v>
      </c>
      <c r="R9" s="12">
        <v>0</v>
      </c>
      <c r="S9" s="12"/>
      <c r="T9" s="12"/>
      <c r="U9" s="12">
        <v>17770000000</v>
      </c>
      <c r="V9" s="12">
        <v>202000000000</v>
      </c>
      <c r="W9" s="10" t="s">
        <v>37</v>
      </c>
      <c r="X9" s="13"/>
      <c r="Y9" s="10"/>
      <c r="Z9" s="13"/>
      <c r="AA9" s="13"/>
    </row>
    <row r="10" spans="1:27" x14ac:dyDescent="0.25">
      <c r="A10" s="10" t="s">
        <v>339</v>
      </c>
      <c r="B10" s="10" t="s">
        <v>65</v>
      </c>
      <c r="C10" s="10"/>
      <c r="D10" s="10" t="s">
        <v>42</v>
      </c>
      <c r="E10" s="10" t="s">
        <v>25</v>
      </c>
      <c r="F10" s="11">
        <v>41030</v>
      </c>
      <c r="G10" s="11">
        <v>44742</v>
      </c>
      <c r="H10" s="10" t="s">
        <v>35</v>
      </c>
      <c r="I10" s="10" t="s">
        <v>36</v>
      </c>
      <c r="J10" s="12">
        <v>91679539600</v>
      </c>
      <c r="K10" s="12">
        <v>19190000000</v>
      </c>
      <c r="L10" s="12"/>
      <c r="M10" s="12"/>
      <c r="N10" s="12">
        <v>0</v>
      </c>
      <c r="O10" s="12">
        <v>0</v>
      </c>
      <c r="P10" s="12">
        <v>0</v>
      </c>
      <c r="Q10" s="12">
        <v>0</v>
      </c>
      <c r="R10" s="12">
        <v>0</v>
      </c>
      <c r="S10" s="12"/>
      <c r="T10" s="12"/>
      <c r="U10" s="12">
        <v>110869539600</v>
      </c>
      <c r="V10" s="12"/>
      <c r="W10" s="10" t="s">
        <v>37</v>
      </c>
      <c r="X10" s="13"/>
      <c r="Y10" s="10"/>
      <c r="Z10" s="13"/>
      <c r="AA10" s="13"/>
    </row>
    <row r="11" spans="1:27" x14ac:dyDescent="0.25">
      <c r="A11" s="10" t="s">
        <v>339</v>
      </c>
      <c r="B11" s="10" t="s">
        <v>65</v>
      </c>
      <c r="C11" s="10"/>
      <c r="D11" s="10" t="s">
        <v>43</v>
      </c>
      <c r="E11" s="10" t="s">
        <v>19</v>
      </c>
      <c r="F11" s="11">
        <v>41456</v>
      </c>
      <c r="G11" s="11">
        <v>44742</v>
      </c>
      <c r="H11" s="10" t="s">
        <v>20</v>
      </c>
      <c r="I11" s="10" t="s">
        <v>36</v>
      </c>
      <c r="J11" s="12">
        <v>85800000000</v>
      </c>
      <c r="K11" s="12">
        <v>2000000000</v>
      </c>
      <c r="L11" s="12"/>
      <c r="M11" s="12">
        <v>6600000000</v>
      </c>
      <c r="N11" s="12"/>
      <c r="O11" s="12">
        <v>6600000000</v>
      </c>
      <c r="P11" s="12">
        <v>0</v>
      </c>
      <c r="Q11" s="12">
        <v>0</v>
      </c>
      <c r="R11" s="12">
        <v>0</v>
      </c>
      <c r="S11" s="12"/>
      <c r="T11" s="12"/>
      <c r="U11" s="12">
        <v>94400000000</v>
      </c>
      <c r="V11" s="12">
        <v>79680000000</v>
      </c>
      <c r="W11" s="10" t="s">
        <v>37</v>
      </c>
      <c r="X11" s="13"/>
      <c r="Y11" s="10"/>
      <c r="Z11" s="13"/>
      <c r="AA11" s="13"/>
    </row>
    <row r="12" spans="1:27" x14ac:dyDescent="0.25">
      <c r="A12" s="10" t="s">
        <v>339</v>
      </c>
      <c r="B12" s="10" t="s">
        <v>65</v>
      </c>
      <c r="C12" s="10"/>
      <c r="D12" s="10" t="s">
        <v>43</v>
      </c>
      <c r="E12" s="10" t="s">
        <v>25</v>
      </c>
      <c r="F12" s="11">
        <v>41456</v>
      </c>
      <c r="G12" s="11">
        <v>44742</v>
      </c>
      <c r="H12" s="10" t="s">
        <v>20</v>
      </c>
      <c r="I12" s="10" t="s">
        <v>36</v>
      </c>
      <c r="J12" s="12">
        <v>61230000000</v>
      </c>
      <c r="K12" s="12">
        <v>20110000000</v>
      </c>
      <c r="L12" s="12"/>
      <c r="M12" s="12"/>
      <c r="N12" s="12">
        <v>7690000000</v>
      </c>
      <c r="O12" s="12">
        <v>7690000000</v>
      </c>
      <c r="P12" s="12">
        <v>0</v>
      </c>
      <c r="Q12" s="12">
        <v>0</v>
      </c>
      <c r="R12" s="12">
        <v>0</v>
      </c>
      <c r="S12" s="12"/>
      <c r="T12" s="12"/>
      <c r="U12" s="12">
        <v>89030000000</v>
      </c>
      <c r="V12" s="12"/>
      <c r="W12" s="10" t="s">
        <v>37</v>
      </c>
      <c r="X12" s="13"/>
      <c r="Y12" s="10"/>
      <c r="Z12" s="13"/>
      <c r="AA12" s="13"/>
    </row>
    <row r="13" spans="1:27" x14ac:dyDescent="0.25">
      <c r="A13" s="10" t="s">
        <v>339</v>
      </c>
      <c r="B13" s="10" t="s">
        <v>65</v>
      </c>
      <c r="C13" s="10"/>
      <c r="D13" s="10" t="s">
        <v>44</v>
      </c>
      <c r="E13" s="10" t="s">
        <v>19</v>
      </c>
      <c r="F13" s="11">
        <v>42552</v>
      </c>
      <c r="G13" s="11">
        <v>44742</v>
      </c>
      <c r="H13" s="10" t="s">
        <v>40</v>
      </c>
      <c r="I13" s="10" t="s">
        <v>36</v>
      </c>
      <c r="J13" s="12">
        <v>7630000000</v>
      </c>
      <c r="K13" s="12">
        <v>1000000000</v>
      </c>
      <c r="L13" s="12"/>
      <c r="M13" s="12">
        <v>5340000000</v>
      </c>
      <c r="N13" s="12"/>
      <c r="O13" s="12">
        <v>5340000000</v>
      </c>
      <c r="P13" s="12">
        <v>0</v>
      </c>
      <c r="Q13" s="12">
        <v>0</v>
      </c>
      <c r="R13" s="12">
        <v>0</v>
      </c>
      <c r="S13" s="12"/>
      <c r="T13" s="12"/>
      <c r="U13" s="12">
        <v>13970000000</v>
      </c>
      <c r="V13" s="12">
        <v>265000000000</v>
      </c>
      <c r="W13" s="10" t="s">
        <v>37</v>
      </c>
      <c r="X13" s="13"/>
      <c r="Y13" s="10"/>
      <c r="Z13" s="13"/>
      <c r="AA13" s="13"/>
    </row>
    <row r="14" spans="1:27" x14ac:dyDescent="0.25">
      <c r="A14" s="10" t="s">
        <v>339</v>
      </c>
      <c r="B14" s="10" t="s">
        <v>65</v>
      </c>
      <c r="C14" s="10"/>
      <c r="D14" s="10" t="s">
        <v>44</v>
      </c>
      <c r="E14" s="10" t="s">
        <v>25</v>
      </c>
      <c r="F14" s="11">
        <v>42552</v>
      </c>
      <c r="G14" s="11">
        <v>44742</v>
      </c>
      <c r="H14" s="10" t="s">
        <v>40</v>
      </c>
      <c r="I14" s="10" t="s">
        <v>36</v>
      </c>
      <c r="J14" s="12">
        <v>0</v>
      </c>
      <c r="K14" s="12">
        <v>1920000000</v>
      </c>
      <c r="L14" s="12"/>
      <c r="M14" s="12"/>
      <c r="N14" s="12">
        <v>7690000000</v>
      </c>
      <c r="O14" s="12">
        <v>7690000000</v>
      </c>
      <c r="P14" s="12">
        <v>0</v>
      </c>
      <c r="Q14" s="12">
        <v>0</v>
      </c>
      <c r="R14" s="12">
        <v>0</v>
      </c>
      <c r="S14" s="12"/>
      <c r="T14" s="12"/>
      <c r="U14" s="12">
        <v>9610000000</v>
      </c>
      <c r="V14" s="12"/>
      <c r="W14" s="10" t="s">
        <v>37</v>
      </c>
      <c r="X14" s="13"/>
      <c r="Y14" s="10"/>
      <c r="Z14" s="13"/>
      <c r="AA14" s="13"/>
    </row>
    <row r="15" spans="1:27" x14ac:dyDescent="0.25">
      <c r="A15" s="10" t="s">
        <v>339</v>
      </c>
      <c r="B15" s="10" t="s">
        <v>65</v>
      </c>
      <c r="C15" s="10"/>
      <c r="D15" s="10" t="s">
        <v>45</v>
      </c>
      <c r="E15" s="10" t="s">
        <v>19</v>
      </c>
      <c r="F15" s="11">
        <v>42552</v>
      </c>
      <c r="G15" s="11">
        <v>44742</v>
      </c>
      <c r="H15" s="10" t="s">
        <v>40</v>
      </c>
      <c r="I15" s="10" t="s">
        <v>36</v>
      </c>
      <c r="J15" s="12">
        <v>30760000000</v>
      </c>
      <c r="K15" s="12">
        <v>2942000000</v>
      </c>
      <c r="L15" s="12"/>
      <c r="M15" s="12">
        <v>16680000000</v>
      </c>
      <c r="N15" s="12"/>
      <c r="O15" s="12">
        <v>16680000000</v>
      </c>
      <c r="P15" s="12">
        <v>0</v>
      </c>
      <c r="Q15" s="12">
        <v>0</v>
      </c>
      <c r="R15" s="12">
        <v>0</v>
      </c>
      <c r="S15" s="12"/>
      <c r="T15" s="12"/>
      <c r="U15" s="12">
        <v>50382000000</v>
      </c>
      <c r="V15" s="12">
        <v>66000000000</v>
      </c>
      <c r="W15" s="10" t="s">
        <v>37</v>
      </c>
      <c r="X15" s="13"/>
      <c r="Y15" s="10"/>
      <c r="Z15" s="13"/>
      <c r="AA15" s="13"/>
    </row>
    <row r="16" spans="1:27" x14ac:dyDescent="0.25">
      <c r="A16" s="10" t="s">
        <v>339</v>
      </c>
      <c r="B16" s="10" t="s">
        <v>65</v>
      </c>
      <c r="C16" s="10"/>
      <c r="D16" s="10" t="s">
        <v>45</v>
      </c>
      <c r="E16" s="10" t="s">
        <v>25</v>
      </c>
      <c r="F16" s="11">
        <v>42552</v>
      </c>
      <c r="G16" s="11">
        <v>44742</v>
      </c>
      <c r="H16" s="10" t="s">
        <v>40</v>
      </c>
      <c r="I16" s="10" t="s">
        <v>36</v>
      </c>
      <c r="J16" s="12">
        <v>0</v>
      </c>
      <c r="K16" s="12">
        <v>38500000000</v>
      </c>
      <c r="L16" s="12"/>
      <c r="M16" s="12"/>
      <c r="N16" s="12">
        <v>15390000000</v>
      </c>
      <c r="O16" s="12">
        <v>15390000000</v>
      </c>
      <c r="P16" s="12">
        <v>0</v>
      </c>
      <c r="Q16" s="12">
        <v>0</v>
      </c>
      <c r="R16" s="12">
        <v>0</v>
      </c>
      <c r="S16" s="12"/>
      <c r="T16" s="12"/>
      <c r="U16" s="12">
        <v>53890000000</v>
      </c>
      <c r="V16" s="12"/>
      <c r="W16" s="10" t="s">
        <v>37</v>
      </c>
      <c r="X16" s="13"/>
      <c r="Y16" s="10"/>
      <c r="Z16" s="13"/>
      <c r="AA16" s="13"/>
    </row>
    <row r="17" spans="1:27" x14ac:dyDescent="0.25">
      <c r="A17" s="10" t="s">
        <v>339</v>
      </c>
      <c r="B17" s="10" t="s">
        <v>65</v>
      </c>
      <c r="C17" s="10"/>
      <c r="D17" s="10" t="s">
        <v>46</v>
      </c>
      <c r="E17" s="10" t="s">
        <v>19</v>
      </c>
      <c r="F17" s="11">
        <v>42552</v>
      </c>
      <c r="G17" s="11">
        <v>44742</v>
      </c>
      <c r="H17" s="10" t="s">
        <v>40</v>
      </c>
      <c r="I17" s="10" t="s">
        <v>36</v>
      </c>
      <c r="J17" s="12">
        <v>31180000000</v>
      </c>
      <c r="K17" s="12">
        <v>15000000000</v>
      </c>
      <c r="L17" s="12"/>
      <c r="M17" s="12">
        <v>5270000000</v>
      </c>
      <c r="N17" s="12"/>
      <c r="O17" s="12">
        <v>5270000000</v>
      </c>
      <c r="P17" s="12">
        <v>0</v>
      </c>
      <c r="Q17" s="12">
        <v>0</v>
      </c>
      <c r="R17" s="12">
        <v>0</v>
      </c>
      <c r="S17" s="12"/>
      <c r="T17" s="12"/>
      <c r="U17" s="12">
        <v>51450000000</v>
      </c>
      <c r="V17" s="12">
        <v>253007000000</v>
      </c>
      <c r="W17" s="10" t="s">
        <v>37</v>
      </c>
      <c r="X17" s="13"/>
      <c r="Y17" s="10"/>
      <c r="Z17" s="13"/>
      <c r="AA17" s="13"/>
    </row>
    <row r="18" spans="1:27" x14ac:dyDescent="0.25">
      <c r="A18" s="10" t="s">
        <v>339</v>
      </c>
      <c r="B18" s="10" t="s">
        <v>65</v>
      </c>
      <c r="C18" s="10"/>
      <c r="D18" s="10" t="s">
        <v>46</v>
      </c>
      <c r="E18" s="10" t="s">
        <v>25</v>
      </c>
      <c r="F18" s="11">
        <v>42552</v>
      </c>
      <c r="G18" s="11">
        <v>44742</v>
      </c>
      <c r="H18" s="10" t="s">
        <v>20</v>
      </c>
      <c r="I18" s="10" t="s">
        <v>36</v>
      </c>
      <c r="J18" s="12">
        <v>0</v>
      </c>
      <c r="K18" s="12">
        <v>0</v>
      </c>
      <c r="L18" s="12"/>
      <c r="M18" s="12"/>
      <c r="N18" s="12">
        <v>15390000000</v>
      </c>
      <c r="O18" s="12">
        <v>15390000000</v>
      </c>
      <c r="P18" s="12"/>
      <c r="Q18" s="12"/>
      <c r="R18" s="12"/>
      <c r="S18" s="12"/>
      <c r="T18" s="12"/>
      <c r="U18" s="12">
        <v>15390000000</v>
      </c>
      <c r="V18" s="12"/>
      <c r="W18" s="10"/>
      <c r="X18" s="13"/>
      <c r="Y18" s="10"/>
      <c r="Z18" s="13"/>
      <c r="AA18" s="13"/>
    </row>
    <row r="19" spans="1:27" x14ac:dyDescent="0.25">
      <c r="A19" s="10" t="s">
        <v>339</v>
      </c>
      <c r="B19" s="10" t="s">
        <v>65</v>
      </c>
      <c r="C19" s="10"/>
      <c r="D19" s="10" t="s">
        <v>47</v>
      </c>
      <c r="E19" s="10" t="s">
        <v>19</v>
      </c>
      <c r="F19" s="11">
        <v>42552</v>
      </c>
      <c r="G19" s="11">
        <v>44742</v>
      </c>
      <c r="H19" s="10" t="s">
        <v>20</v>
      </c>
      <c r="I19" s="10" t="s">
        <v>36</v>
      </c>
      <c r="J19" s="12">
        <v>25850000000</v>
      </c>
      <c r="K19" s="12">
        <v>7224960000</v>
      </c>
      <c r="L19" s="12"/>
      <c r="M19" s="12">
        <v>2500000000</v>
      </c>
      <c r="N19" s="12"/>
      <c r="O19" s="12">
        <v>2500000000</v>
      </c>
      <c r="P19" s="12"/>
      <c r="Q19" s="12"/>
      <c r="R19" s="12"/>
      <c r="S19" s="12"/>
      <c r="T19" s="12"/>
      <c r="U19" s="12">
        <v>35574960000</v>
      </c>
      <c r="V19" s="12">
        <v>382000000000</v>
      </c>
      <c r="W19" s="10" t="s">
        <v>37</v>
      </c>
      <c r="X19" s="13"/>
      <c r="Y19" s="10"/>
      <c r="Z19" s="13"/>
      <c r="AA19" s="13"/>
    </row>
    <row r="20" spans="1:27" x14ac:dyDescent="0.25">
      <c r="A20" s="10" t="s">
        <v>339</v>
      </c>
      <c r="B20" s="10" t="s">
        <v>65</v>
      </c>
      <c r="C20" s="10"/>
      <c r="D20" s="10" t="s">
        <v>47</v>
      </c>
      <c r="E20" s="10" t="s">
        <v>25</v>
      </c>
      <c r="F20" s="11">
        <v>42552</v>
      </c>
      <c r="G20" s="11">
        <v>44742</v>
      </c>
      <c r="H20" s="10" t="s">
        <v>20</v>
      </c>
      <c r="I20" s="10" t="s">
        <v>36</v>
      </c>
      <c r="J20" s="12">
        <v>15770000000</v>
      </c>
      <c r="K20" s="12">
        <v>57558220000</v>
      </c>
      <c r="L20" s="12"/>
      <c r="M20" s="12"/>
      <c r="N20" s="12">
        <v>15390000000</v>
      </c>
      <c r="O20" s="12">
        <v>15390000000</v>
      </c>
      <c r="P20" s="12">
        <v>0</v>
      </c>
      <c r="Q20" s="12">
        <v>0</v>
      </c>
      <c r="R20" s="12">
        <v>0</v>
      </c>
      <c r="S20" s="12"/>
      <c r="T20" s="12"/>
      <c r="U20" s="12">
        <v>88718220000</v>
      </c>
      <c r="V20" s="12"/>
      <c r="W20" s="10" t="s">
        <v>37</v>
      </c>
      <c r="X20" s="13"/>
      <c r="Y20" s="10"/>
      <c r="Z20" s="13"/>
      <c r="AA20" s="13"/>
    </row>
    <row r="21" spans="1:27" x14ac:dyDescent="0.25">
      <c r="A21" s="10" t="s">
        <v>339</v>
      </c>
      <c r="B21" s="10" t="s">
        <v>65</v>
      </c>
      <c r="C21" s="10"/>
      <c r="D21" s="10" t="s">
        <v>48</v>
      </c>
      <c r="E21" s="10" t="s">
        <v>19</v>
      </c>
      <c r="F21" s="11">
        <v>42917</v>
      </c>
      <c r="G21" s="11">
        <v>44742</v>
      </c>
      <c r="H21" s="10" t="s">
        <v>20</v>
      </c>
      <c r="I21" s="10" t="s">
        <v>36</v>
      </c>
      <c r="J21" s="12">
        <v>44720000000</v>
      </c>
      <c r="K21" s="12">
        <v>7667000000</v>
      </c>
      <c r="L21" s="12"/>
      <c r="M21" s="12">
        <v>13070000000</v>
      </c>
      <c r="N21" s="12"/>
      <c r="O21" s="12">
        <v>13070000000</v>
      </c>
      <c r="P21" s="12">
        <v>0</v>
      </c>
      <c r="Q21" s="12">
        <v>0</v>
      </c>
      <c r="R21" s="12">
        <v>0</v>
      </c>
      <c r="S21" s="12">
        <v>0</v>
      </c>
      <c r="T21" s="12"/>
      <c r="U21" s="12">
        <v>65457000000</v>
      </c>
      <c r="V21" s="12">
        <v>249000000000</v>
      </c>
      <c r="W21" s="10" t="s">
        <v>37</v>
      </c>
      <c r="X21" s="13"/>
      <c r="Y21" s="10"/>
      <c r="Z21" s="13"/>
      <c r="AA21" s="13"/>
    </row>
    <row r="22" spans="1:27" x14ac:dyDescent="0.25">
      <c r="A22" s="10" t="s">
        <v>339</v>
      </c>
      <c r="B22" s="10" t="s">
        <v>65</v>
      </c>
      <c r="C22" s="10"/>
      <c r="D22" s="10" t="s">
        <v>48</v>
      </c>
      <c r="E22" s="10" t="s">
        <v>25</v>
      </c>
      <c r="F22" s="11">
        <v>42917</v>
      </c>
      <c r="G22" s="11">
        <v>44742</v>
      </c>
      <c r="H22" s="10" t="s">
        <v>20</v>
      </c>
      <c r="I22" s="10" t="s">
        <v>36</v>
      </c>
      <c r="J22" s="12">
        <v>23210000000</v>
      </c>
      <c r="K22" s="12">
        <v>28400000000</v>
      </c>
      <c r="L22" s="12"/>
      <c r="M22" s="12"/>
      <c r="N22" s="12">
        <v>55490000000</v>
      </c>
      <c r="O22" s="12">
        <v>55490000000</v>
      </c>
      <c r="P22" s="12">
        <v>0</v>
      </c>
      <c r="Q22" s="12">
        <v>0</v>
      </c>
      <c r="R22" s="12">
        <v>0</v>
      </c>
      <c r="S22" s="12">
        <v>0</v>
      </c>
      <c r="T22" s="12"/>
      <c r="U22" s="12">
        <v>107100000000</v>
      </c>
      <c r="V22" s="12"/>
      <c r="W22" s="10" t="s">
        <v>37</v>
      </c>
      <c r="X22" s="13"/>
      <c r="Y22" s="10"/>
      <c r="Z22" s="13"/>
      <c r="AA22" s="13"/>
    </row>
    <row r="23" spans="1:27" x14ac:dyDescent="0.25">
      <c r="A23" s="10" t="s">
        <v>339</v>
      </c>
      <c r="B23" s="10" t="s">
        <v>65</v>
      </c>
      <c r="C23" s="10"/>
      <c r="D23" s="10" t="s">
        <v>49</v>
      </c>
      <c r="E23" s="10" t="s">
        <v>19</v>
      </c>
      <c r="F23" s="11">
        <v>42917</v>
      </c>
      <c r="G23" s="11">
        <v>44742</v>
      </c>
      <c r="H23" s="10" t="s">
        <v>20</v>
      </c>
      <c r="I23" s="10" t="s">
        <v>36</v>
      </c>
      <c r="J23" s="12">
        <v>17000000000</v>
      </c>
      <c r="K23" s="12">
        <v>10000000000</v>
      </c>
      <c r="L23" s="12"/>
      <c r="M23" s="12">
        <v>8000000000</v>
      </c>
      <c r="N23" s="12"/>
      <c r="O23" s="12">
        <v>8000000000</v>
      </c>
      <c r="P23" s="12">
        <v>0</v>
      </c>
      <c r="Q23" s="12">
        <v>0</v>
      </c>
      <c r="R23" s="12">
        <v>0</v>
      </c>
      <c r="S23" s="12">
        <v>0</v>
      </c>
      <c r="T23" s="12"/>
      <c r="U23" s="12">
        <v>35000000000</v>
      </c>
      <c r="V23" s="12">
        <v>145000000000</v>
      </c>
      <c r="W23" s="10" t="s">
        <v>37</v>
      </c>
      <c r="X23" s="13"/>
      <c r="Y23" s="10"/>
      <c r="Z23" s="13"/>
      <c r="AA23" s="13"/>
    </row>
    <row r="24" spans="1:27" x14ac:dyDescent="0.25">
      <c r="A24" s="10" t="s">
        <v>339</v>
      </c>
      <c r="B24" s="10" t="s">
        <v>65</v>
      </c>
      <c r="C24" s="10"/>
      <c r="D24" s="10" t="s">
        <v>50</v>
      </c>
      <c r="E24" s="10" t="s">
        <v>19</v>
      </c>
      <c r="F24" s="11">
        <v>42917</v>
      </c>
      <c r="G24" s="11">
        <v>44742</v>
      </c>
      <c r="H24" s="10" t="s">
        <v>40</v>
      </c>
      <c r="I24" s="10" t="s">
        <v>36</v>
      </c>
      <c r="J24" s="12">
        <v>13170000000</v>
      </c>
      <c r="K24" s="12">
        <v>30306934000</v>
      </c>
      <c r="L24" s="12"/>
      <c r="M24" s="12">
        <v>1960000000</v>
      </c>
      <c r="N24" s="12"/>
      <c r="O24" s="12">
        <v>1960000000</v>
      </c>
      <c r="P24" s="12">
        <v>0</v>
      </c>
      <c r="Q24" s="12">
        <v>0</v>
      </c>
      <c r="R24" s="12">
        <v>0</v>
      </c>
      <c r="S24" s="12">
        <v>0</v>
      </c>
      <c r="T24" s="12"/>
      <c r="U24" s="12">
        <v>45436934000</v>
      </c>
      <c r="V24" s="12">
        <v>485500000000</v>
      </c>
      <c r="W24" s="10" t="s">
        <v>37</v>
      </c>
      <c r="X24" s="13"/>
      <c r="Y24" s="10"/>
      <c r="Z24" s="13"/>
      <c r="AA24" s="13"/>
    </row>
    <row r="25" spans="1:27" x14ac:dyDescent="0.25">
      <c r="A25" s="10" t="s">
        <v>339</v>
      </c>
      <c r="B25" s="10" t="s">
        <v>65</v>
      </c>
      <c r="C25" s="10"/>
      <c r="D25" s="10" t="s">
        <v>50</v>
      </c>
      <c r="E25" s="10" t="s">
        <v>25</v>
      </c>
      <c r="F25" s="11">
        <v>42917</v>
      </c>
      <c r="G25" s="11">
        <v>44742</v>
      </c>
      <c r="H25" s="10" t="s">
        <v>40</v>
      </c>
      <c r="I25" s="10" t="s">
        <v>36</v>
      </c>
      <c r="J25" s="12">
        <v>7320000000</v>
      </c>
      <c r="K25" s="12">
        <v>0</v>
      </c>
      <c r="L25" s="12"/>
      <c r="M25" s="12">
        <v>0</v>
      </c>
      <c r="N25" s="12">
        <v>84710000000</v>
      </c>
      <c r="O25" s="12">
        <v>84710000000</v>
      </c>
      <c r="P25" s="12">
        <v>0</v>
      </c>
      <c r="Q25" s="12">
        <v>0</v>
      </c>
      <c r="R25" s="12">
        <v>0</v>
      </c>
      <c r="S25" s="12">
        <v>0</v>
      </c>
      <c r="T25" s="12"/>
      <c r="U25" s="12">
        <v>92030000000</v>
      </c>
      <c r="V25" s="12"/>
      <c r="W25" s="10" t="s">
        <v>37</v>
      </c>
      <c r="X25" s="13"/>
      <c r="Y25" s="10"/>
      <c r="Z25" s="13"/>
      <c r="AA25" s="13"/>
    </row>
    <row r="26" spans="1:27" x14ac:dyDescent="0.25">
      <c r="A26" s="10" t="s">
        <v>339</v>
      </c>
      <c r="B26" s="10" t="s">
        <v>65</v>
      </c>
      <c r="C26" s="10"/>
      <c r="D26" s="10" t="s">
        <v>51</v>
      </c>
      <c r="E26" s="10" t="s">
        <v>19</v>
      </c>
      <c r="F26" s="11">
        <v>42917</v>
      </c>
      <c r="G26" s="11">
        <v>44742</v>
      </c>
      <c r="H26" s="10" t="s">
        <v>20</v>
      </c>
      <c r="I26" s="10" t="s">
        <v>36</v>
      </c>
      <c r="J26" s="12">
        <v>30600000000</v>
      </c>
      <c r="K26" s="12">
        <v>30000000000</v>
      </c>
      <c r="L26" s="12"/>
      <c r="M26" s="12">
        <v>13330000000</v>
      </c>
      <c r="N26" s="12"/>
      <c r="O26" s="12">
        <v>13330000000</v>
      </c>
      <c r="P26" s="12">
        <v>0</v>
      </c>
      <c r="Q26" s="12">
        <v>0</v>
      </c>
      <c r="R26" s="12">
        <v>0</v>
      </c>
      <c r="S26" s="12">
        <v>0</v>
      </c>
      <c r="T26" s="12"/>
      <c r="U26" s="12">
        <v>73930000000</v>
      </c>
      <c r="V26" s="12">
        <v>475000000000</v>
      </c>
      <c r="W26" s="10" t="s">
        <v>37</v>
      </c>
      <c r="X26" s="13"/>
      <c r="Y26" s="10"/>
      <c r="Z26" s="13"/>
      <c r="AA26" s="13"/>
    </row>
    <row r="27" spans="1:27" x14ac:dyDescent="0.25">
      <c r="A27" s="10" t="s">
        <v>339</v>
      </c>
      <c r="B27" s="10" t="s">
        <v>65</v>
      </c>
      <c r="C27" s="10"/>
      <c r="D27" s="10" t="s">
        <v>51</v>
      </c>
      <c r="E27" s="10" t="s">
        <v>25</v>
      </c>
      <c r="F27" s="11">
        <v>42917</v>
      </c>
      <c r="G27" s="11">
        <v>44742</v>
      </c>
      <c r="H27" s="10" t="s">
        <v>20</v>
      </c>
      <c r="I27" s="10" t="s">
        <v>36</v>
      </c>
      <c r="J27" s="12">
        <v>0</v>
      </c>
      <c r="K27" s="12">
        <v>142780000000</v>
      </c>
      <c r="L27" s="12"/>
      <c r="M27" s="12"/>
      <c r="N27" s="12">
        <v>15390000000</v>
      </c>
      <c r="O27" s="12">
        <v>15390000000</v>
      </c>
      <c r="P27" s="12">
        <v>0</v>
      </c>
      <c r="Q27" s="12">
        <v>0</v>
      </c>
      <c r="R27" s="12">
        <v>0</v>
      </c>
      <c r="S27" s="12">
        <v>0</v>
      </c>
      <c r="T27" s="12"/>
      <c r="U27" s="12">
        <v>158170000000</v>
      </c>
      <c r="V27" s="12"/>
      <c r="W27" s="10" t="s">
        <v>37</v>
      </c>
      <c r="X27" s="13"/>
      <c r="Y27" s="10"/>
      <c r="Z27" s="13"/>
      <c r="AA27" s="13"/>
    </row>
    <row r="28" spans="1:27" x14ac:dyDescent="0.25">
      <c r="A28" s="10" t="s">
        <v>339</v>
      </c>
      <c r="B28" s="10" t="s">
        <v>65</v>
      </c>
      <c r="C28" s="10"/>
      <c r="D28" s="10" t="s">
        <v>52</v>
      </c>
      <c r="E28" s="10" t="s">
        <v>19</v>
      </c>
      <c r="F28" s="11">
        <v>44013</v>
      </c>
      <c r="G28" s="11">
        <v>45838</v>
      </c>
      <c r="H28" s="10" t="s">
        <v>20</v>
      </c>
      <c r="I28" s="10" t="s">
        <v>36</v>
      </c>
      <c r="J28" s="12">
        <v>0</v>
      </c>
      <c r="K28" s="12">
        <v>20000000000</v>
      </c>
      <c r="L28" s="12"/>
      <c r="M28" s="12">
        <v>37510000000</v>
      </c>
      <c r="N28" s="12"/>
      <c r="O28" s="12">
        <v>37510000000</v>
      </c>
      <c r="P28" s="12">
        <v>5000000000</v>
      </c>
      <c r="Q28" s="12">
        <v>5000000000</v>
      </c>
      <c r="R28" s="12">
        <v>5000000000</v>
      </c>
      <c r="S28" s="12"/>
      <c r="T28" s="12">
        <v>0</v>
      </c>
      <c r="U28" s="12">
        <v>72510000000</v>
      </c>
      <c r="V28" s="12">
        <v>238800000000</v>
      </c>
      <c r="W28" s="10"/>
      <c r="X28" s="13"/>
      <c r="Y28" s="10"/>
      <c r="Z28" s="13"/>
      <c r="AA28" s="13"/>
    </row>
    <row r="29" spans="1:27" x14ac:dyDescent="0.25">
      <c r="A29" s="10" t="s">
        <v>339</v>
      </c>
      <c r="B29" s="10" t="s">
        <v>65</v>
      </c>
      <c r="C29" s="10"/>
      <c r="D29" s="10" t="s">
        <v>52</v>
      </c>
      <c r="E29" s="10" t="s">
        <v>25</v>
      </c>
      <c r="F29" s="11">
        <v>44013</v>
      </c>
      <c r="G29" s="11">
        <v>45838</v>
      </c>
      <c r="H29" s="10" t="s">
        <v>20</v>
      </c>
      <c r="I29" s="10" t="s">
        <v>36</v>
      </c>
      <c r="J29" s="12">
        <v>0</v>
      </c>
      <c r="K29" s="12">
        <v>136850000000</v>
      </c>
      <c r="L29" s="12"/>
      <c r="M29" s="12"/>
      <c r="N29" s="12">
        <v>32290000000</v>
      </c>
      <c r="O29" s="12">
        <v>32290000000</v>
      </c>
      <c r="P29" s="12">
        <v>20000000000</v>
      </c>
      <c r="Q29" s="12">
        <v>16850000000</v>
      </c>
      <c r="R29" s="12">
        <v>6850000000</v>
      </c>
      <c r="S29" s="12"/>
      <c r="T29" s="12">
        <v>0</v>
      </c>
      <c r="U29" s="12">
        <v>212840000000</v>
      </c>
      <c r="V29" s="12"/>
      <c r="W29" s="10"/>
      <c r="X29" s="13"/>
      <c r="Y29" s="10"/>
      <c r="Z29" s="13"/>
      <c r="AA29" s="13"/>
    </row>
    <row r="30" spans="1:27" x14ac:dyDescent="0.25">
      <c r="A30" s="10" t="s">
        <v>339</v>
      </c>
      <c r="B30" s="10" t="s">
        <v>65</v>
      </c>
      <c r="C30" s="10"/>
      <c r="D30" s="10" t="s">
        <v>53</v>
      </c>
      <c r="E30" s="10" t="s">
        <v>19</v>
      </c>
      <c r="F30" s="11">
        <v>44013</v>
      </c>
      <c r="G30" s="11">
        <v>45838</v>
      </c>
      <c r="H30" s="10" t="s">
        <v>20</v>
      </c>
      <c r="I30" s="10" t="s">
        <v>36</v>
      </c>
      <c r="J30" s="12">
        <v>0</v>
      </c>
      <c r="K30" s="12">
        <v>1000000000</v>
      </c>
      <c r="L30" s="12"/>
      <c r="M30" s="12">
        <v>4650000000</v>
      </c>
      <c r="N30" s="12"/>
      <c r="O30" s="12">
        <v>4650000000</v>
      </c>
      <c r="P30" s="12">
        <v>1000000000</v>
      </c>
      <c r="Q30" s="12">
        <v>1000000000</v>
      </c>
      <c r="R30" s="12">
        <v>1000000000</v>
      </c>
      <c r="S30" s="12"/>
      <c r="T30" s="12">
        <v>0</v>
      </c>
      <c r="U30" s="12">
        <v>8650000000</v>
      </c>
      <c r="V30" s="12">
        <v>24500000000</v>
      </c>
      <c r="W30" s="10"/>
      <c r="X30" s="13"/>
      <c r="Y30" s="10"/>
      <c r="Z30" s="13"/>
      <c r="AA30" s="13"/>
    </row>
    <row r="31" spans="1:27" x14ac:dyDescent="0.25">
      <c r="A31" s="10" t="s">
        <v>339</v>
      </c>
      <c r="B31" s="10" t="s">
        <v>65</v>
      </c>
      <c r="C31" s="10"/>
      <c r="D31" s="10" t="s">
        <v>53</v>
      </c>
      <c r="E31" s="10" t="s">
        <v>25</v>
      </c>
      <c r="F31" s="11">
        <v>44013</v>
      </c>
      <c r="G31" s="11">
        <v>45838</v>
      </c>
      <c r="H31" s="10" t="s">
        <v>20</v>
      </c>
      <c r="I31" s="10" t="s">
        <v>36</v>
      </c>
      <c r="J31" s="12">
        <v>0</v>
      </c>
      <c r="K31" s="12">
        <v>34540000000</v>
      </c>
      <c r="L31" s="12"/>
      <c r="M31" s="12"/>
      <c r="N31" s="12">
        <v>7690000000</v>
      </c>
      <c r="O31" s="12">
        <v>7690000000</v>
      </c>
      <c r="P31" s="12"/>
      <c r="Q31" s="12"/>
      <c r="R31" s="12"/>
      <c r="S31" s="12"/>
      <c r="T31" s="12">
        <v>0</v>
      </c>
      <c r="U31" s="12">
        <v>42230000000</v>
      </c>
      <c r="V31" s="12"/>
      <c r="W31" s="10"/>
      <c r="X31" s="13"/>
      <c r="Y31" s="10"/>
      <c r="Z31" s="13"/>
      <c r="AA31" s="13"/>
    </row>
    <row r="32" spans="1:27" x14ac:dyDescent="0.25">
      <c r="A32" s="10" t="s">
        <v>339</v>
      </c>
      <c r="B32" s="10" t="s">
        <v>65</v>
      </c>
      <c r="C32" s="10"/>
      <c r="D32" s="10" t="s">
        <v>54</v>
      </c>
      <c r="E32" s="10" t="s">
        <v>19</v>
      </c>
      <c r="F32" s="11">
        <v>41456</v>
      </c>
      <c r="G32" s="11">
        <v>44742</v>
      </c>
      <c r="H32" s="10" t="s">
        <v>20</v>
      </c>
      <c r="I32" s="10" t="s">
        <v>36</v>
      </c>
      <c r="J32" s="12">
        <v>127140000000</v>
      </c>
      <c r="K32" s="12">
        <v>12405000000</v>
      </c>
      <c r="L32" s="12"/>
      <c r="M32" s="12">
        <v>6410000000</v>
      </c>
      <c r="N32" s="12"/>
      <c r="O32" s="12">
        <v>6410000000</v>
      </c>
      <c r="P32" s="12">
        <v>0</v>
      </c>
      <c r="Q32" s="12">
        <v>0</v>
      </c>
      <c r="R32" s="12">
        <v>0</v>
      </c>
      <c r="S32" s="12"/>
      <c r="T32" s="12"/>
      <c r="U32" s="12">
        <v>145955000000</v>
      </c>
      <c r="V32" s="12">
        <v>67000000000</v>
      </c>
      <c r="W32" s="10" t="s">
        <v>37</v>
      </c>
      <c r="X32" s="13"/>
      <c r="Y32" s="10"/>
      <c r="Z32" s="13"/>
      <c r="AA32" s="13"/>
    </row>
    <row r="33" spans="1:27" x14ac:dyDescent="0.25">
      <c r="A33" s="10" t="s">
        <v>339</v>
      </c>
      <c r="B33" s="10" t="s">
        <v>65</v>
      </c>
      <c r="C33" s="10"/>
      <c r="D33" s="10" t="s">
        <v>55</v>
      </c>
      <c r="E33" s="10" t="s">
        <v>19</v>
      </c>
      <c r="F33" s="11">
        <v>42186</v>
      </c>
      <c r="G33" s="11">
        <v>44742</v>
      </c>
      <c r="H33" s="10" t="s">
        <v>20</v>
      </c>
      <c r="I33" s="10" t="s">
        <v>36</v>
      </c>
      <c r="J33" s="12">
        <v>30230000000</v>
      </c>
      <c r="K33" s="12">
        <v>14508211000</v>
      </c>
      <c r="L33" s="12"/>
      <c r="M33" s="12">
        <v>5510000000</v>
      </c>
      <c r="N33" s="12"/>
      <c r="O33" s="12">
        <v>5510000000</v>
      </c>
      <c r="P33" s="12">
        <v>0</v>
      </c>
      <c r="Q33" s="12">
        <v>0</v>
      </c>
      <c r="R33" s="12">
        <v>0</v>
      </c>
      <c r="S33" s="12"/>
      <c r="T33" s="12"/>
      <c r="U33" s="12">
        <v>50248211000</v>
      </c>
      <c r="V33" s="12">
        <v>570960000000</v>
      </c>
      <c r="W33" s="10" t="s">
        <v>37</v>
      </c>
      <c r="X33" s="13"/>
      <c r="Y33" s="10"/>
      <c r="Z33" s="13"/>
      <c r="AA33" s="13"/>
    </row>
    <row r="34" spans="1:27" x14ac:dyDescent="0.25">
      <c r="A34" s="10" t="s">
        <v>339</v>
      </c>
      <c r="B34" s="10" t="s">
        <v>65</v>
      </c>
      <c r="C34" s="10"/>
      <c r="D34" s="10" t="s">
        <v>56</v>
      </c>
      <c r="E34" s="10" t="s">
        <v>19</v>
      </c>
      <c r="F34" s="11">
        <v>42186</v>
      </c>
      <c r="G34" s="11">
        <v>44742</v>
      </c>
      <c r="H34" s="10" t="s">
        <v>20</v>
      </c>
      <c r="I34" s="10" t="s">
        <v>36</v>
      </c>
      <c r="J34" s="12">
        <v>136410000000</v>
      </c>
      <c r="K34" s="12">
        <v>10529540000</v>
      </c>
      <c r="L34" s="12"/>
      <c r="M34" s="12">
        <v>8530000000</v>
      </c>
      <c r="N34" s="12"/>
      <c r="O34" s="12">
        <v>8530000000</v>
      </c>
      <c r="P34" s="12">
        <v>0</v>
      </c>
      <c r="Q34" s="12">
        <v>0</v>
      </c>
      <c r="R34" s="12">
        <v>0</v>
      </c>
      <c r="S34" s="12"/>
      <c r="T34" s="12"/>
      <c r="U34" s="12">
        <v>155469540000</v>
      </c>
      <c r="V34" s="12">
        <v>25000000000</v>
      </c>
      <c r="W34" s="10" t="s">
        <v>37</v>
      </c>
      <c r="X34" s="13"/>
      <c r="Y34" s="10"/>
      <c r="Z34" s="13"/>
      <c r="AA34" s="13"/>
    </row>
    <row r="35" spans="1:27" x14ac:dyDescent="0.25">
      <c r="A35" s="10" t="s">
        <v>339</v>
      </c>
      <c r="B35" s="10" t="s">
        <v>65</v>
      </c>
      <c r="C35" s="10"/>
      <c r="D35" s="10" t="s">
        <v>57</v>
      </c>
      <c r="E35" s="10" t="s">
        <v>19</v>
      </c>
      <c r="F35" s="11">
        <v>42552</v>
      </c>
      <c r="G35" s="11">
        <v>44742</v>
      </c>
      <c r="H35" s="10" t="s">
        <v>20</v>
      </c>
      <c r="I35" s="10" t="s">
        <v>26</v>
      </c>
      <c r="J35" s="12">
        <v>3990000000</v>
      </c>
      <c r="K35" s="12">
        <v>3580000000</v>
      </c>
      <c r="L35" s="12"/>
      <c r="M35" s="12">
        <v>3070000000</v>
      </c>
      <c r="N35" s="12"/>
      <c r="O35" s="12">
        <v>3070000000</v>
      </c>
      <c r="P35" s="12">
        <v>0</v>
      </c>
      <c r="Q35" s="12">
        <v>0</v>
      </c>
      <c r="R35" s="12">
        <v>0</v>
      </c>
      <c r="S35" s="12"/>
      <c r="T35" s="12"/>
      <c r="U35" s="12">
        <v>10640000000</v>
      </c>
      <c r="V35" s="12">
        <v>50000000000</v>
      </c>
      <c r="W35" s="10" t="s">
        <v>37</v>
      </c>
      <c r="X35" s="13"/>
      <c r="Y35" s="10"/>
      <c r="Z35" s="13"/>
      <c r="AA35" s="13"/>
    </row>
    <row r="36" spans="1:27" x14ac:dyDescent="0.25">
      <c r="A36" s="10" t="s">
        <v>339</v>
      </c>
      <c r="B36" s="10" t="s">
        <v>65</v>
      </c>
      <c r="C36" s="10"/>
      <c r="D36" s="10" t="s">
        <v>57</v>
      </c>
      <c r="E36" s="10" t="s">
        <v>25</v>
      </c>
      <c r="F36" s="11">
        <v>42552</v>
      </c>
      <c r="G36" s="11">
        <v>44742</v>
      </c>
      <c r="H36" s="10" t="s">
        <v>20</v>
      </c>
      <c r="I36" s="10" t="s">
        <v>26</v>
      </c>
      <c r="J36" s="12">
        <v>5730000000</v>
      </c>
      <c r="K36" s="12">
        <v>4500000000</v>
      </c>
      <c r="L36" s="12"/>
      <c r="M36" s="12"/>
      <c r="N36" s="12">
        <v>0</v>
      </c>
      <c r="O36" s="12">
        <v>0</v>
      </c>
      <c r="P36" s="12">
        <v>0</v>
      </c>
      <c r="Q36" s="12">
        <v>0</v>
      </c>
      <c r="R36" s="12">
        <v>0</v>
      </c>
      <c r="S36" s="12"/>
      <c r="T36" s="12"/>
      <c r="U36" s="12">
        <v>10230000000</v>
      </c>
      <c r="V36" s="12"/>
      <c r="W36" s="10" t="s">
        <v>37</v>
      </c>
      <c r="X36" s="13"/>
      <c r="Y36" s="10"/>
      <c r="Z36" s="13"/>
      <c r="AA36" s="13"/>
    </row>
    <row r="37" spans="1:27" x14ac:dyDescent="0.25">
      <c r="A37" s="10" t="s">
        <v>339</v>
      </c>
      <c r="B37" s="10" t="s">
        <v>65</v>
      </c>
      <c r="C37" s="10"/>
      <c r="D37" s="10" t="s">
        <v>58</v>
      </c>
      <c r="E37" s="10" t="s">
        <v>19</v>
      </c>
      <c r="F37" s="11">
        <v>44013</v>
      </c>
      <c r="G37" s="11">
        <v>45838</v>
      </c>
      <c r="H37" s="10" t="s">
        <v>20</v>
      </c>
      <c r="I37" s="10" t="s">
        <v>36</v>
      </c>
      <c r="J37" s="12">
        <v>0</v>
      </c>
      <c r="K37" s="12">
        <v>3000000000</v>
      </c>
      <c r="L37" s="12"/>
      <c r="M37" s="12">
        <v>20510000000</v>
      </c>
      <c r="N37" s="12"/>
      <c r="O37" s="12">
        <v>20510000000</v>
      </c>
      <c r="P37" s="12">
        <v>180000000000</v>
      </c>
      <c r="Q37" s="12">
        <v>180000000000</v>
      </c>
      <c r="R37" s="12">
        <v>200000000000</v>
      </c>
      <c r="S37" s="12"/>
      <c r="T37" s="12">
        <v>0</v>
      </c>
      <c r="U37" s="12">
        <v>583510000000</v>
      </c>
      <c r="V37" s="12">
        <v>970000000000</v>
      </c>
      <c r="W37" s="10" t="s">
        <v>59</v>
      </c>
      <c r="X37" s="13"/>
      <c r="Y37" s="10"/>
      <c r="Z37" s="13"/>
      <c r="AA37" s="13"/>
    </row>
    <row r="38" spans="1:27" x14ac:dyDescent="0.25">
      <c r="A38" s="10" t="s">
        <v>339</v>
      </c>
      <c r="B38" s="10" t="s">
        <v>65</v>
      </c>
      <c r="C38" s="10"/>
      <c r="D38" s="10" t="s">
        <v>60</v>
      </c>
      <c r="E38" s="10" t="s">
        <v>19</v>
      </c>
      <c r="F38" s="11">
        <v>44013</v>
      </c>
      <c r="G38" s="11">
        <v>45838</v>
      </c>
      <c r="H38" s="10" t="s">
        <v>20</v>
      </c>
      <c r="I38" s="10" t="s">
        <v>36</v>
      </c>
      <c r="J38" s="12">
        <v>0</v>
      </c>
      <c r="K38" s="12">
        <v>5000000000</v>
      </c>
      <c r="L38" s="12"/>
      <c r="M38" s="12">
        <v>5000000000</v>
      </c>
      <c r="N38" s="12"/>
      <c r="O38" s="12">
        <v>5000000000</v>
      </c>
      <c r="P38" s="12">
        <v>35000000000</v>
      </c>
      <c r="Q38" s="12">
        <v>35000000000</v>
      </c>
      <c r="R38" s="12">
        <v>21000000000</v>
      </c>
      <c r="S38" s="12"/>
      <c r="T38" s="12">
        <v>0</v>
      </c>
      <c r="U38" s="12">
        <v>101000000000</v>
      </c>
      <c r="V38" s="12">
        <v>101200000000</v>
      </c>
      <c r="W38" s="10" t="s">
        <v>59</v>
      </c>
      <c r="X38" s="13"/>
      <c r="Y38" s="10"/>
      <c r="Z38" s="13"/>
      <c r="AA38" s="13"/>
    </row>
    <row r="39" spans="1:27" x14ac:dyDescent="0.25">
      <c r="A39" s="10" t="s">
        <v>339</v>
      </c>
      <c r="B39" s="10" t="s">
        <v>65</v>
      </c>
      <c r="C39" s="10"/>
      <c r="D39" s="10" t="s">
        <v>61</v>
      </c>
      <c r="E39" s="10" t="s">
        <v>19</v>
      </c>
      <c r="F39" s="11">
        <v>42186</v>
      </c>
      <c r="G39" s="11">
        <v>44742</v>
      </c>
      <c r="H39" s="10" t="s">
        <v>20</v>
      </c>
      <c r="I39" s="10" t="s">
        <v>36</v>
      </c>
      <c r="J39" s="12">
        <v>37540000000</v>
      </c>
      <c r="K39" s="12">
        <v>13354378000</v>
      </c>
      <c r="L39" s="12"/>
      <c r="M39" s="12">
        <v>13354378000</v>
      </c>
      <c r="N39" s="12"/>
      <c r="O39" s="12">
        <v>13354378000</v>
      </c>
      <c r="P39" s="12">
        <v>0</v>
      </c>
      <c r="Q39" s="12">
        <v>0</v>
      </c>
      <c r="R39" s="12">
        <v>0</v>
      </c>
      <c r="S39" s="12"/>
      <c r="T39" s="12"/>
      <c r="U39" s="12">
        <v>64248756000</v>
      </c>
      <c r="V39" s="12">
        <v>156600000000</v>
      </c>
      <c r="W39" s="10" t="s">
        <v>37</v>
      </c>
      <c r="X39" s="13"/>
      <c r="Y39" s="10"/>
      <c r="Z39" s="13"/>
      <c r="AA39" s="13"/>
    </row>
    <row r="40" spans="1:27" x14ac:dyDescent="0.25">
      <c r="A40" s="10" t="s">
        <v>339</v>
      </c>
      <c r="B40" s="10" t="s">
        <v>65</v>
      </c>
      <c r="C40" s="10"/>
      <c r="D40" s="10" t="s">
        <v>62</v>
      </c>
      <c r="E40" s="10" t="s">
        <v>19</v>
      </c>
      <c r="F40" s="11">
        <v>43647</v>
      </c>
      <c r="G40" s="11">
        <v>45838</v>
      </c>
      <c r="H40" s="10" t="s">
        <v>20</v>
      </c>
      <c r="I40" s="10" t="s">
        <v>36</v>
      </c>
      <c r="J40" s="12">
        <v>2420000000</v>
      </c>
      <c r="K40" s="12">
        <v>9100000000</v>
      </c>
      <c r="L40" s="12">
        <v>0</v>
      </c>
      <c r="M40" s="12">
        <v>9100000000</v>
      </c>
      <c r="N40" s="12"/>
      <c r="O40" s="12">
        <v>9100000000</v>
      </c>
      <c r="P40" s="12">
        <v>2000000000</v>
      </c>
      <c r="Q40" s="12">
        <v>1689000000</v>
      </c>
      <c r="R40" s="12">
        <v>1200000000</v>
      </c>
      <c r="S40" s="12"/>
      <c r="T40" s="12">
        <v>0</v>
      </c>
      <c r="U40" s="12">
        <v>25509000000</v>
      </c>
      <c r="V40" s="12">
        <v>97341000000</v>
      </c>
      <c r="W40" s="10" t="s">
        <v>63</v>
      </c>
      <c r="X40" s="13"/>
      <c r="Y40" s="10"/>
      <c r="Z40" s="13"/>
      <c r="AA40" s="13"/>
    </row>
    <row r="41" spans="1:27" x14ac:dyDescent="0.25">
      <c r="A41" s="10" t="s">
        <v>339</v>
      </c>
      <c r="B41" s="10" t="s">
        <v>65</v>
      </c>
      <c r="C41" s="10"/>
      <c r="D41" s="10" t="s">
        <v>62</v>
      </c>
      <c r="E41" s="10" t="s">
        <v>25</v>
      </c>
      <c r="F41" s="11">
        <v>43647</v>
      </c>
      <c r="G41" s="11">
        <v>45838</v>
      </c>
      <c r="H41" s="10" t="s">
        <v>20</v>
      </c>
      <c r="I41" s="10" t="s">
        <v>36</v>
      </c>
      <c r="J41" s="12">
        <v>0</v>
      </c>
      <c r="K41" s="12">
        <v>38380000000</v>
      </c>
      <c r="L41" s="12"/>
      <c r="M41" s="12"/>
      <c r="N41" s="12">
        <v>20310000000</v>
      </c>
      <c r="O41" s="12">
        <v>20310000000</v>
      </c>
      <c r="P41" s="12">
        <v>17000000000</v>
      </c>
      <c r="Q41" s="12">
        <v>8780000000</v>
      </c>
      <c r="R41" s="12">
        <v>7700000000</v>
      </c>
      <c r="S41" s="12"/>
      <c r="T41" s="12"/>
      <c r="U41" s="12">
        <v>92170000000</v>
      </c>
      <c r="V41" s="12"/>
      <c r="W41" s="10"/>
      <c r="X41" s="13"/>
      <c r="Y41" s="10"/>
      <c r="Z41" s="13"/>
      <c r="AA41" s="13"/>
    </row>
    <row r="42" spans="1:27" x14ac:dyDescent="0.25">
      <c r="A42" s="10" t="s">
        <v>339</v>
      </c>
      <c r="B42" s="10" t="s">
        <v>65</v>
      </c>
      <c r="C42" s="10"/>
      <c r="D42" s="10" t="s">
        <v>64</v>
      </c>
      <c r="E42" s="10" t="s">
        <v>19</v>
      </c>
      <c r="F42" s="11">
        <v>44013</v>
      </c>
      <c r="G42" s="11">
        <v>45838</v>
      </c>
      <c r="H42" s="10" t="s">
        <v>20</v>
      </c>
      <c r="I42" s="10" t="s">
        <v>21</v>
      </c>
      <c r="J42" s="12">
        <v>0</v>
      </c>
      <c r="K42" s="12">
        <v>20002028000</v>
      </c>
      <c r="L42" s="12"/>
      <c r="M42" s="12">
        <v>29900000000</v>
      </c>
      <c r="N42" s="12"/>
      <c r="O42" s="12">
        <v>29900000000</v>
      </c>
      <c r="P42" s="12">
        <v>43002028000</v>
      </c>
      <c r="Q42" s="12">
        <v>47002028000</v>
      </c>
      <c r="R42" s="12">
        <v>44002028000</v>
      </c>
      <c r="S42" s="12"/>
      <c r="T42" s="12">
        <v>0</v>
      </c>
      <c r="U42" s="12">
        <v>183908112000</v>
      </c>
      <c r="V42" s="12">
        <v>174000000000</v>
      </c>
      <c r="W42" s="10" t="s">
        <v>59</v>
      </c>
      <c r="X42" s="13"/>
      <c r="Y42" s="10"/>
      <c r="Z42" s="13"/>
      <c r="AA42" s="13"/>
    </row>
    <row r="43" spans="1:27" x14ac:dyDescent="0.25">
      <c r="A43" s="10" t="s">
        <v>340</v>
      </c>
      <c r="B43" s="10" t="s">
        <v>332</v>
      </c>
      <c r="C43" s="10"/>
      <c r="D43" s="10" t="s">
        <v>73</v>
      </c>
      <c r="E43" s="10" t="s">
        <v>19</v>
      </c>
      <c r="F43" s="11">
        <v>42109</v>
      </c>
      <c r="G43" s="11">
        <v>44742</v>
      </c>
      <c r="H43" s="10" t="s">
        <v>20</v>
      </c>
      <c r="I43" s="10" t="s">
        <v>36</v>
      </c>
      <c r="J43" s="12">
        <v>16505000000</v>
      </c>
      <c r="K43" s="12">
        <v>2880000000</v>
      </c>
      <c r="L43" s="12"/>
      <c r="M43" s="12">
        <v>1579000000</v>
      </c>
      <c r="N43" s="12"/>
      <c r="O43" s="12">
        <v>1579000000</v>
      </c>
      <c r="P43" s="12">
        <v>0</v>
      </c>
      <c r="Q43" s="12">
        <v>0</v>
      </c>
      <c r="R43" s="12">
        <v>0</v>
      </c>
      <c r="S43" s="12">
        <v>0</v>
      </c>
      <c r="T43" s="12">
        <v>0</v>
      </c>
      <c r="U43" s="12">
        <v>20964000000</v>
      </c>
      <c r="V43" s="12">
        <v>140000000000</v>
      </c>
      <c r="W43" s="10" t="s">
        <v>74</v>
      </c>
      <c r="X43" s="13"/>
      <c r="Y43" s="10" t="s">
        <v>23</v>
      </c>
      <c r="Z43" s="13"/>
      <c r="AA43" s="13"/>
    </row>
    <row r="44" spans="1:27" x14ac:dyDescent="0.25">
      <c r="A44" s="10" t="s">
        <v>340</v>
      </c>
      <c r="B44" s="10" t="s">
        <v>332</v>
      </c>
      <c r="C44" s="10"/>
      <c r="D44" s="10" t="s">
        <v>73</v>
      </c>
      <c r="E44" s="10" t="s">
        <v>25</v>
      </c>
      <c r="F44" s="11">
        <v>42109</v>
      </c>
      <c r="G44" s="11">
        <v>44742</v>
      </c>
      <c r="H44" s="10" t="s">
        <v>20</v>
      </c>
      <c r="I44" s="10" t="s">
        <v>36</v>
      </c>
      <c r="J44" s="12">
        <v>99855000000</v>
      </c>
      <c r="K44" s="12">
        <v>30830000000</v>
      </c>
      <c r="L44" s="12"/>
      <c r="M44" s="12">
        <v>0</v>
      </c>
      <c r="N44" s="12">
        <v>3395400000</v>
      </c>
      <c r="O44" s="12">
        <v>3395400000</v>
      </c>
      <c r="P44" s="12">
        <v>0</v>
      </c>
      <c r="Q44" s="12">
        <v>0</v>
      </c>
      <c r="R44" s="12">
        <v>0</v>
      </c>
      <c r="S44" s="12">
        <v>0</v>
      </c>
      <c r="T44" s="12">
        <v>0</v>
      </c>
      <c r="U44" s="12">
        <v>134080400000</v>
      </c>
      <c r="V44" s="12"/>
      <c r="W44" s="10" t="s">
        <v>75</v>
      </c>
      <c r="X44" s="13"/>
      <c r="Y44" s="10" t="s">
        <v>28</v>
      </c>
      <c r="Z44" s="13"/>
      <c r="AA44" s="13"/>
    </row>
    <row r="45" spans="1:27" x14ac:dyDescent="0.25">
      <c r="A45" s="10" t="s">
        <v>340</v>
      </c>
      <c r="B45" s="10" t="s">
        <v>332</v>
      </c>
      <c r="C45" s="10"/>
      <c r="D45" s="10" t="s">
        <v>76</v>
      </c>
      <c r="E45" s="10" t="s">
        <v>19</v>
      </c>
      <c r="F45" s="11">
        <v>43101</v>
      </c>
      <c r="G45" s="11">
        <v>44926</v>
      </c>
      <c r="H45" s="10" t="s">
        <v>35</v>
      </c>
      <c r="I45" s="10" t="s">
        <v>26</v>
      </c>
      <c r="J45" s="12">
        <v>10725805731</v>
      </c>
      <c r="K45" s="12">
        <v>5575268577</v>
      </c>
      <c r="L45" s="12">
        <v>154498413</v>
      </c>
      <c r="M45" s="12">
        <v>5575268577</v>
      </c>
      <c r="N45" s="12">
        <v>5575268577</v>
      </c>
      <c r="O45" s="12">
        <v>11305035567</v>
      </c>
      <c r="P45" s="12"/>
      <c r="Q45" s="12"/>
      <c r="R45" s="12"/>
      <c r="S45" s="12">
        <v>0</v>
      </c>
      <c r="T45" s="12">
        <v>0</v>
      </c>
      <c r="U45" s="12">
        <v>27606109875</v>
      </c>
      <c r="V45" s="12">
        <v>1125461552000</v>
      </c>
      <c r="W45" s="10" t="s">
        <v>77</v>
      </c>
      <c r="X45" s="13"/>
      <c r="Y45" s="10"/>
      <c r="Z45" s="13"/>
      <c r="AA45" s="13"/>
    </row>
    <row r="46" spans="1:27" x14ac:dyDescent="0.25">
      <c r="A46" s="10" t="s">
        <v>340</v>
      </c>
      <c r="B46" s="10" t="s">
        <v>332</v>
      </c>
      <c r="C46" s="10"/>
      <c r="D46" s="10" t="s">
        <v>76</v>
      </c>
      <c r="E46" s="10" t="s">
        <v>25</v>
      </c>
      <c r="F46" s="11">
        <v>43101</v>
      </c>
      <c r="G46" s="11">
        <v>44926</v>
      </c>
      <c r="H46" s="10" t="s">
        <v>35</v>
      </c>
      <c r="I46" s="10" t="s">
        <v>26</v>
      </c>
      <c r="J46" s="12">
        <v>1422631307300</v>
      </c>
      <c r="K46" s="12">
        <v>703030000000</v>
      </c>
      <c r="L46" s="12">
        <v>0</v>
      </c>
      <c r="M46" s="12">
        <v>0</v>
      </c>
      <c r="N46" s="12">
        <v>703030000000</v>
      </c>
      <c r="O46" s="12">
        <v>703030000000</v>
      </c>
      <c r="P46" s="12">
        <v>0</v>
      </c>
      <c r="Q46" s="12">
        <v>0</v>
      </c>
      <c r="R46" s="12">
        <v>0</v>
      </c>
      <c r="S46" s="12">
        <v>0</v>
      </c>
      <c r="T46" s="12">
        <v>0</v>
      </c>
      <c r="U46" s="12">
        <v>2828691307300</v>
      </c>
      <c r="V46" s="12"/>
      <c r="W46" s="10" t="s">
        <v>78</v>
      </c>
      <c r="X46" s="13"/>
      <c r="Y46" s="10"/>
      <c r="Z46" s="13"/>
      <c r="AA46" s="13"/>
    </row>
    <row r="47" spans="1:27" x14ac:dyDescent="0.25">
      <c r="A47" s="10" t="s">
        <v>340</v>
      </c>
      <c r="B47" s="10" t="s">
        <v>332</v>
      </c>
      <c r="C47" s="10"/>
      <c r="D47" s="10" t="s">
        <v>79</v>
      </c>
      <c r="E47" s="10" t="s">
        <v>19</v>
      </c>
      <c r="F47" s="11">
        <v>42917</v>
      </c>
      <c r="G47" s="11">
        <v>44742</v>
      </c>
      <c r="H47" s="10" t="s">
        <v>20</v>
      </c>
      <c r="I47" s="10" t="s">
        <v>26</v>
      </c>
      <c r="J47" s="12">
        <v>34000000000</v>
      </c>
      <c r="K47" s="12">
        <v>11093484000</v>
      </c>
      <c r="L47" s="12">
        <v>0</v>
      </c>
      <c r="M47" s="12">
        <v>16000000000</v>
      </c>
      <c r="N47" s="12"/>
      <c r="O47" s="12">
        <v>16000000000</v>
      </c>
      <c r="P47" s="12"/>
      <c r="Q47" s="12"/>
      <c r="R47" s="12"/>
      <c r="S47" s="12">
        <v>0</v>
      </c>
      <c r="T47" s="12">
        <v>0</v>
      </c>
      <c r="U47" s="12">
        <v>61093484000</v>
      </c>
      <c r="V47" s="12">
        <v>526000000000</v>
      </c>
      <c r="W47" s="10" t="s">
        <v>80</v>
      </c>
      <c r="X47" s="13"/>
      <c r="Y47" s="10"/>
      <c r="Z47" s="13"/>
      <c r="AA47" s="13"/>
    </row>
    <row r="48" spans="1:27" x14ac:dyDescent="0.25">
      <c r="A48" s="10" t="s">
        <v>340</v>
      </c>
      <c r="B48" s="10" t="s">
        <v>332</v>
      </c>
      <c r="C48" s="10"/>
      <c r="D48" s="10" t="s">
        <v>79</v>
      </c>
      <c r="E48" s="10" t="s">
        <v>25</v>
      </c>
      <c r="F48" s="11">
        <v>42918</v>
      </c>
      <c r="G48" s="11">
        <v>44743</v>
      </c>
      <c r="H48" s="10" t="s">
        <v>20</v>
      </c>
      <c r="I48" s="10" t="s">
        <v>26</v>
      </c>
      <c r="J48" s="12">
        <v>385000000000</v>
      </c>
      <c r="K48" s="12">
        <v>36735129920</v>
      </c>
      <c r="L48" s="12">
        <v>0</v>
      </c>
      <c r="M48" s="12"/>
      <c r="N48" s="12">
        <v>36730000000</v>
      </c>
      <c r="O48" s="12">
        <v>36730000000</v>
      </c>
      <c r="P48" s="12"/>
      <c r="Q48" s="12"/>
      <c r="R48" s="12"/>
      <c r="S48" s="12">
        <v>0</v>
      </c>
      <c r="T48" s="12">
        <v>0</v>
      </c>
      <c r="U48" s="12">
        <v>458465129920</v>
      </c>
      <c r="V48" s="12"/>
      <c r="W48" s="10" t="s">
        <v>81</v>
      </c>
      <c r="X48" s="13"/>
      <c r="Y48" s="10"/>
      <c r="Z48" s="13"/>
      <c r="AA48" s="13"/>
    </row>
    <row r="49" spans="1:27" x14ac:dyDescent="0.25">
      <c r="A49" s="10" t="s">
        <v>340</v>
      </c>
      <c r="B49" s="10" t="s">
        <v>332</v>
      </c>
      <c r="C49" s="10"/>
      <c r="D49" s="10" t="s">
        <v>82</v>
      </c>
      <c r="E49" s="10" t="s">
        <v>19</v>
      </c>
      <c r="F49" s="11">
        <v>42881</v>
      </c>
      <c r="G49" s="11">
        <v>44926</v>
      </c>
      <c r="H49" s="10" t="s">
        <v>20</v>
      </c>
      <c r="I49" s="10" t="s">
        <v>36</v>
      </c>
      <c r="J49" s="12">
        <v>800000000</v>
      </c>
      <c r="K49" s="12">
        <v>200000000</v>
      </c>
      <c r="L49" s="12"/>
      <c r="M49" s="12">
        <v>200000000</v>
      </c>
      <c r="N49" s="12"/>
      <c r="O49" s="12">
        <v>200000000</v>
      </c>
      <c r="P49" s="12"/>
      <c r="Q49" s="12">
        <v>0</v>
      </c>
      <c r="R49" s="12">
        <v>0</v>
      </c>
      <c r="S49" s="12"/>
      <c r="T49" s="12"/>
      <c r="U49" s="12">
        <v>1200000000</v>
      </c>
      <c r="V49" s="12">
        <v>532000000000</v>
      </c>
      <c r="W49" s="10" t="s">
        <v>83</v>
      </c>
      <c r="X49" s="13"/>
      <c r="Y49" s="10"/>
      <c r="Z49" s="13"/>
      <c r="AA49" s="13"/>
    </row>
    <row r="50" spans="1:27" x14ac:dyDescent="0.25">
      <c r="A50" s="10" t="s">
        <v>340</v>
      </c>
      <c r="B50" s="10" t="s">
        <v>332</v>
      </c>
      <c r="C50" s="10"/>
      <c r="D50" s="10" t="s">
        <v>82</v>
      </c>
      <c r="E50" s="10" t="s">
        <v>25</v>
      </c>
      <c r="F50" s="11">
        <v>42881</v>
      </c>
      <c r="G50" s="11">
        <v>44926</v>
      </c>
      <c r="H50" s="10" t="s">
        <v>20</v>
      </c>
      <c r="I50" s="10" t="s">
        <v>36</v>
      </c>
      <c r="J50" s="12">
        <v>138544180100</v>
      </c>
      <c r="K50" s="12">
        <v>332420000000</v>
      </c>
      <c r="L50" s="12">
        <v>0</v>
      </c>
      <c r="M50" s="12"/>
      <c r="N50" s="12">
        <v>242970667600</v>
      </c>
      <c r="O50" s="12">
        <v>242970667600</v>
      </c>
      <c r="P50" s="12"/>
      <c r="Q50" s="12"/>
      <c r="R50" s="12">
        <v>0</v>
      </c>
      <c r="S50" s="12"/>
      <c r="T50" s="12"/>
      <c r="U50" s="12">
        <v>713934847700</v>
      </c>
      <c r="V50" s="12"/>
      <c r="W50" s="10" t="s">
        <v>84</v>
      </c>
      <c r="X50" s="13"/>
      <c r="Y50" s="10"/>
      <c r="Z50" s="13"/>
      <c r="AA50" s="13"/>
    </row>
    <row r="51" spans="1:27" x14ac:dyDescent="0.25">
      <c r="A51" s="10" t="s">
        <v>340</v>
      </c>
      <c r="B51" s="10" t="s">
        <v>332</v>
      </c>
      <c r="C51" s="10"/>
      <c r="D51" s="10" t="s">
        <v>85</v>
      </c>
      <c r="E51" s="10" t="s">
        <v>19</v>
      </c>
      <c r="F51" s="11">
        <v>44013</v>
      </c>
      <c r="G51" s="11">
        <v>45838</v>
      </c>
      <c r="H51" s="10" t="s">
        <v>20</v>
      </c>
      <c r="I51" s="10" t="s">
        <v>36</v>
      </c>
      <c r="J51" s="12">
        <v>209380000</v>
      </c>
      <c r="K51" s="12">
        <v>361000000</v>
      </c>
      <c r="L51" s="12">
        <v>0</v>
      </c>
      <c r="M51" s="12">
        <v>361000000</v>
      </c>
      <c r="N51" s="12"/>
      <c r="O51" s="12">
        <v>361000000</v>
      </c>
      <c r="P51" s="12">
        <v>4820000000</v>
      </c>
      <c r="Q51" s="12">
        <v>7640000000</v>
      </c>
      <c r="R51" s="12">
        <v>361000000</v>
      </c>
      <c r="S51" s="12">
        <v>0</v>
      </c>
      <c r="T51" s="12">
        <v>0</v>
      </c>
      <c r="U51" s="12">
        <v>13752380000</v>
      </c>
      <c r="V51" s="12">
        <v>20000000000</v>
      </c>
      <c r="W51" s="10" t="s">
        <v>86</v>
      </c>
      <c r="X51" s="13"/>
      <c r="Y51" s="10"/>
      <c r="Z51" s="13"/>
      <c r="AA51" s="13"/>
    </row>
    <row r="52" spans="1:27" x14ac:dyDescent="0.25">
      <c r="A52" s="10" t="s">
        <v>340</v>
      </c>
      <c r="B52" s="10" t="s">
        <v>332</v>
      </c>
      <c r="C52" s="10"/>
      <c r="D52" s="10" t="s">
        <v>85</v>
      </c>
      <c r="E52" s="10" t="s">
        <v>25</v>
      </c>
      <c r="F52" s="11">
        <v>44013</v>
      </c>
      <c r="G52" s="11">
        <v>45839</v>
      </c>
      <c r="H52" s="10" t="s">
        <v>20</v>
      </c>
      <c r="I52" s="10" t="s">
        <v>36</v>
      </c>
      <c r="J52" s="12">
        <v>0</v>
      </c>
      <c r="K52" s="12">
        <v>12937486862</v>
      </c>
      <c r="L52" s="12">
        <v>0</v>
      </c>
      <c r="M52" s="12">
        <v>0</v>
      </c>
      <c r="N52" s="12">
        <v>13298490161</v>
      </c>
      <c r="O52" s="12">
        <v>13298490161</v>
      </c>
      <c r="P52" s="12">
        <v>13298490161</v>
      </c>
      <c r="Q52" s="12">
        <v>43212574213</v>
      </c>
      <c r="R52" s="12">
        <v>0</v>
      </c>
      <c r="S52" s="12"/>
      <c r="T52" s="12"/>
      <c r="U52" s="12">
        <v>82747041397</v>
      </c>
      <c r="V52" s="12"/>
      <c r="W52" s="10" t="s">
        <v>87</v>
      </c>
      <c r="X52" s="13"/>
      <c r="Y52" s="10"/>
      <c r="Z52" s="13"/>
      <c r="AA52" s="13"/>
    </row>
    <row r="53" spans="1:27" x14ac:dyDescent="0.25">
      <c r="A53" s="10" t="s">
        <v>340</v>
      </c>
      <c r="B53" s="10" t="s">
        <v>332</v>
      </c>
      <c r="C53" s="10"/>
      <c r="D53" s="10" t="s">
        <v>88</v>
      </c>
      <c r="E53" s="10" t="s">
        <v>19</v>
      </c>
      <c r="F53" s="11">
        <v>41091</v>
      </c>
      <c r="G53" s="11">
        <v>44742</v>
      </c>
      <c r="H53" s="10" t="s">
        <v>20</v>
      </c>
      <c r="I53" s="10" t="s">
        <v>36</v>
      </c>
      <c r="J53" s="12">
        <v>7680000000</v>
      </c>
      <c r="K53" s="12">
        <v>9290000000</v>
      </c>
      <c r="L53" s="12">
        <v>0</v>
      </c>
      <c r="M53" s="12">
        <v>3840000000</v>
      </c>
      <c r="N53" s="12"/>
      <c r="O53" s="12">
        <v>3840000000</v>
      </c>
      <c r="P53" s="12"/>
      <c r="Q53" s="12"/>
      <c r="R53" s="12">
        <v>0</v>
      </c>
      <c r="S53" s="12">
        <v>0</v>
      </c>
      <c r="T53" s="12">
        <v>0</v>
      </c>
      <c r="U53" s="12">
        <v>20810000000</v>
      </c>
      <c r="V53" s="12">
        <v>62000000000</v>
      </c>
      <c r="W53" s="10" t="s">
        <v>89</v>
      </c>
      <c r="X53" s="13"/>
      <c r="Y53" s="10"/>
      <c r="Z53" s="13"/>
      <c r="AA53" s="13"/>
    </row>
    <row r="54" spans="1:27" x14ac:dyDescent="0.25">
      <c r="A54" s="10" t="s">
        <v>340</v>
      </c>
      <c r="B54" s="10" t="s">
        <v>332</v>
      </c>
      <c r="C54" s="10"/>
      <c r="D54" s="10" t="s">
        <v>88</v>
      </c>
      <c r="E54" s="10" t="s">
        <v>25</v>
      </c>
      <c r="F54" s="11">
        <v>41091</v>
      </c>
      <c r="G54" s="11">
        <v>44742</v>
      </c>
      <c r="H54" s="10" t="s">
        <v>20</v>
      </c>
      <c r="I54" s="10" t="s">
        <v>36</v>
      </c>
      <c r="J54" s="12">
        <v>18580000000</v>
      </c>
      <c r="K54" s="12">
        <v>3840000000</v>
      </c>
      <c r="L54" s="12">
        <v>0</v>
      </c>
      <c r="M54" s="12"/>
      <c r="N54" s="12">
        <v>9290000000</v>
      </c>
      <c r="O54" s="12">
        <v>9290000000</v>
      </c>
      <c r="P54" s="12"/>
      <c r="Q54" s="12"/>
      <c r="R54" s="12">
        <v>0</v>
      </c>
      <c r="S54" s="12">
        <v>0</v>
      </c>
      <c r="T54" s="12">
        <v>0</v>
      </c>
      <c r="U54" s="12">
        <v>31710000000</v>
      </c>
      <c r="V54" s="12"/>
      <c r="W54" s="10" t="s">
        <v>90</v>
      </c>
      <c r="X54" s="13"/>
      <c r="Y54" s="10"/>
      <c r="Z54" s="13"/>
      <c r="AA54" s="13"/>
    </row>
    <row r="55" spans="1:27" x14ac:dyDescent="0.25">
      <c r="A55" s="10" t="s">
        <v>340</v>
      </c>
      <c r="B55" s="10" t="s">
        <v>332</v>
      </c>
      <c r="C55" s="10"/>
      <c r="D55" s="10" t="s">
        <v>91</v>
      </c>
      <c r="E55" s="10" t="s">
        <v>19</v>
      </c>
      <c r="F55" s="11">
        <v>40360</v>
      </c>
      <c r="G55" s="11">
        <v>45838</v>
      </c>
      <c r="H55" s="10" t="s">
        <v>20</v>
      </c>
      <c r="I55" s="10" t="s">
        <v>21</v>
      </c>
      <c r="J55" s="12">
        <v>4200000000</v>
      </c>
      <c r="K55" s="12">
        <v>33819470358</v>
      </c>
      <c r="L55" s="12"/>
      <c r="M55" s="12">
        <v>1471167287</v>
      </c>
      <c r="N55" s="12">
        <v>19800000000</v>
      </c>
      <c r="O55" s="12">
        <v>21271167287</v>
      </c>
      <c r="P55" s="12">
        <v>1471167287</v>
      </c>
      <c r="Q55" s="12">
        <v>2691167287</v>
      </c>
      <c r="R55" s="12">
        <v>2855000000</v>
      </c>
      <c r="S55" s="12">
        <v>0</v>
      </c>
      <c r="T55" s="12">
        <v>0</v>
      </c>
      <c r="U55" s="12">
        <v>66307972219</v>
      </c>
      <c r="V55" s="12">
        <v>21000000000</v>
      </c>
      <c r="W55" s="10" t="s">
        <v>92</v>
      </c>
      <c r="X55" s="13"/>
      <c r="Y55" s="10"/>
      <c r="Z55" s="13"/>
      <c r="AA55" s="13"/>
    </row>
    <row r="56" spans="1:27" x14ac:dyDescent="0.25">
      <c r="A56" s="10" t="s">
        <v>340</v>
      </c>
      <c r="B56" s="10" t="s">
        <v>332</v>
      </c>
      <c r="C56" s="10"/>
      <c r="D56" s="10" t="s">
        <v>93</v>
      </c>
      <c r="E56" s="10" t="s">
        <v>19</v>
      </c>
      <c r="F56" s="11">
        <v>43282</v>
      </c>
      <c r="G56" s="11">
        <v>45838</v>
      </c>
      <c r="H56" s="10" t="s">
        <v>20</v>
      </c>
      <c r="I56" s="10" t="s">
        <v>36</v>
      </c>
      <c r="J56" s="12">
        <v>3000000000</v>
      </c>
      <c r="K56" s="12">
        <v>1000000000</v>
      </c>
      <c r="L56" s="12">
        <v>0</v>
      </c>
      <c r="M56" s="12">
        <v>0</v>
      </c>
      <c r="N56" s="12">
        <v>1000000000</v>
      </c>
      <c r="O56" s="12">
        <v>1000000000</v>
      </c>
      <c r="P56" s="12">
        <v>0</v>
      </c>
      <c r="Q56" s="12">
        <v>0</v>
      </c>
      <c r="R56" s="12">
        <v>0</v>
      </c>
      <c r="S56" s="12"/>
      <c r="T56" s="12"/>
      <c r="U56" s="12">
        <v>5000000000</v>
      </c>
      <c r="V56" s="12">
        <v>193500000000</v>
      </c>
      <c r="W56" s="10" t="s">
        <v>94</v>
      </c>
      <c r="X56" s="13"/>
      <c r="Y56" s="10"/>
      <c r="Z56" s="13"/>
      <c r="AA56" s="13"/>
    </row>
    <row r="57" spans="1:27" x14ac:dyDescent="0.25">
      <c r="A57" s="10" t="s">
        <v>340</v>
      </c>
      <c r="B57" s="10" t="s">
        <v>332</v>
      </c>
      <c r="C57" s="10"/>
      <c r="D57" s="10" t="s">
        <v>93</v>
      </c>
      <c r="E57" s="10" t="s">
        <v>25</v>
      </c>
      <c r="F57" s="11">
        <v>43282</v>
      </c>
      <c r="G57" s="11">
        <v>45838</v>
      </c>
      <c r="H57" s="10" t="s">
        <v>20</v>
      </c>
      <c r="I57" s="10" t="s">
        <v>36</v>
      </c>
      <c r="J57" s="12">
        <v>0</v>
      </c>
      <c r="K57" s="12">
        <v>0</v>
      </c>
      <c r="L57" s="12">
        <v>0</v>
      </c>
      <c r="M57" s="12">
        <v>0</v>
      </c>
      <c r="N57" s="12">
        <v>0</v>
      </c>
      <c r="O57" s="12">
        <v>0</v>
      </c>
      <c r="P57" s="12">
        <v>0</v>
      </c>
      <c r="Q57" s="12">
        <v>0</v>
      </c>
      <c r="R57" s="12">
        <v>0</v>
      </c>
      <c r="S57" s="12"/>
      <c r="T57" s="12"/>
      <c r="U57" s="12">
        <v>0</v>
      </c>
      <c r="V57" s="12">
        <v>0</v>
      </c>
      <c r="W57" s="10" t="s">
        <v>95</v>
      </c>
      <c r="X57" s="13"/>
      <c r="Y57" s="10"/>
      <c r="Z57" s="13"/>
      <c r="AA57" s="13"/>
    </row>
    <row r="58" spans="1:27" x14ac:dyDescent="0.25">
      <c r="A58" s="10" t="s">
        <v>340</v>
      </c>
      <c r="B58" s="10" t="s">
        <v>332</v>
      </c>
      <c r="C58" s="10"/>
      <c r="D58" s="10" t="s">
        <v>76</v>
      </c>
      <c r="E58" s="10" t="s">
        <v>19</v>
      </c>
      <c r="F58" s="11">
        <v>40360</v>
      </c>
      <c r="G58" s="11">
        <v>44742</v>
      </c>
      <c r="H58" s="10" t="s">
        <v>40</v>
      </c>
      <c r="I58" s="10" t="s">
        <v>26</v>
      </c>
      <c r="J58" s="12">
        <v>0</v>
      </c>
      <c r="K58" s="12">
        <v>0</v>
      </c>
      <c r="L58" s="12">
        <v>0</v>
      </c>
      <c r="M58" s="12">
        <v>5575268577</v>
      </c>
      <c r="N58" s="12"/>
      <c r="O58" s="12">
        <v>5575268577</v>
      </c>
      <c r="P58" s="12">
        <v>0</v>
      </c>
      <c r="Q58" s="12">
        <v>0</v>
      </c>
      <c r="R58" s="12">
        <v>0</v>
      </c>
      <c r="S58" s="12"/>
      <c r="T58" s="12"/>
      <c r="U58" s="12">
        <v>5575268577</v>
      </c>
      <c r="V58" s="12"/>
      <c r="W58" s="10" t="s">
        <v>96</v>
      </c>
      <c r="X58" s="13"/>
      <c r="Y58" s="10"/>
      <c r="Z58" s="13"/>
      <c r="AA58" s="13"/>
    </row>
    <row r="59" spans="1:27" x14ac:dyDescent="0.25">
      <c r="A59" s="10" t="s">
        <v>340</v>
      </c>
      <c r="B59" s="10" t="s">
        <v>332</v>
      </c>
      <c r="C59" s="10"/>
      <c r="D59" s="10" t="s">
        <v>76</v>
      </c>
      <c r="E59" s="10" t="s">
        <v>25</v>
      </c>
      <c r="F59" s="11">
        <v>40360</v>
      </c>
      <c r="G59" s="11">
        <v>44742</v>
      </c>
      <c r="H59" s="10" t="s">
        <v>40</v>
      </c>
      <c r="I59" s="10" t="s">
        <v>26</v>
      </c>
      <c r="J59" s="12">
        <v>0</v>
      </c>
      <c r="K59" s="12">
        <v>0</v>
      </c>
      <c r="L59" s="12">
        <v>0</v>
      </c>
      <c r="M59" s="12"/>
      <c r="N59" s="12">
        <v>448407122863</v>
      </c>
      <c r="O59" s="12">
        <v>448407122863</v>
      </c>
      <c r="P59" s="12">
        <v>0</v>
      </c>
      <c r="Q59" s="12">
        <v>0</v>
      </c>
      <c r="R59" s="12">
        <v>0</v>
      </c>
      <c r="S59" s="12"/>
      <c r="T59" s="12"/>
      <c r="U59" s="12">
        <v>448407122863</v>
      </c>
      <c r="V59" s="12"/>
      <c r="W59" s="10" t="s">
        <v>96</v>
      </c>
      <c r="X59" s="13"/>
      <c r="Y59" s="10"/>
      <c r="Z59" s="13"/>
      <c r="AA59" s="13"/>
    </row>
    <row r="60" spans="1:27" x14ac:dyDescent="0.25">
      <c r="A60" s="10" t="s">
        <v>341</v>
      </c>
      <c r="B60" s="10">
        <v>20</v>
      </c>
      <c r="C60" s="10"/>
      <c r="D60" s="10" t="s">
        <v>342</v>
      </c>
      <c r="E60" s="10" t="s">
        <v>19</v>
      </c>
      <c r="F60" s="11">
        <v>44013</v>
      </c>
      <c r="G60" s="11">
        <v>45838</v>
      </c>
      <c r="H60" s="10" t="s">
        <v>20</v>
      </c>
      <c r="I60" s="10" t="s">
        <v>21</v>
      </c>
      <c r="J60" s="12">
        <v>0</v>
      </c>
      <c r="K60" s="12">
        <v>1600000000</v>
      </c>
      <c r="L60" s="12">
        <v>0</v>
      </c>
      <c r="M60" s="12">
        <v>0</v>
      </c>
      <c r="N60" s="12">
        <v>1600000000</v>
      </c>
      <c r="O60" s="12">
        <v>1600000000</v>
      </c>
      <c r="P60" s="12">
        <v>1200000000</v>
      </c>
      <c r="Q60" s="12">
        <v>1600000000</v>
      </c>
      <c r="R60" s="12">
        <v>1000000000</v>
      </c>
      <c r="S60" s="12"/>
      <c r="T60" s="12"/>
      <c r="U60" s="12">
        <v>7000000000</v>
      </c>
      <c r="V60" s="12">
        <v>7000000000</v>
      </c>
      <c r="W60" s="10"/>
      <c r="X60" s="13"/>
      <c r="Y60" s="10" t="s">
        <v>23</v>
      </c>
      <c r="Z60" s="13"/>
      <c r="AA60" s="13"/>
    </row>
    <row r="61" spans="1:27" x14ac:dyDescent="0.25">
      <c r="A61" s="10" t="s">
        <v>343</v>
      </c>
      <c r="B61" s="10"/>
      <c r="C61" s="10"/>
      <c r="D61" s="10" t="s">
        <v>344</v>
      </c>
      <c r="E61" s="10" t="s">
        <v>19</v>
      </c>
      <c r="F61" s="11">
        <v>42376</v>
      </c>
      <c r="G61" s="11"/>
      <c r="H61" s="10" t="s">
        <v>20</v>
      </c>
      <c r="I61" s="10" t="s">
        <v>26</v>
      </c>
      <c r="J61" s="12">
        <v>235000000000</v>
      </c>
      <c r="K61" s="12">
        <v>74729000000</v>
      </c>
      <c r="L61" s="12">
        <v>0</v>
      </c>
      <c r="M61" s="12">
        <v>0</v>
      </c>
      <c r="N61" s="12">
        <v>127641716167</v>
      </c>
      <c r="O61" s="12">
        <v>127641716167</v>
      </c>
      <c r="P61" s="12">
        <v>0</v>
      </c>
      <c r="Q61" s="12">
        <v>0</v>
      </c>
      <c r="R61" s="12">
        <v>0</v>
      </c>
      <c r="S61" s="12"/>
      <c r="T61" s="12">
        <v>0</v>
      </c>
      <c r="U61" s="12">
        <v>437370716167</v>
      </c>
      <c r="V61" s="12"/>
      <c r="W61" s="10"/>
      <c r="X61" s="13"/>
      <c r="Y61" s="10" t="s">
        <v>28</v>
      </c>
      <c r="Z61" s="13"/>
      <c r="AA61" s="13"/>
    </row>
    <row r="62" spans="1:27" x14ac:dyDescent="0.25">
      <c r="A62" s="10" t="s">
        <v>343</v>
      </c>
      <c r="B62" s="10"/>
      <c r="C62" s="10"/>
      <c r="D62" s="10" t="s">
        <v>344</v>
      </c>
      <c r="E62" s="10" t="s">
        <v>25</v>
      </c>
      <c r="F62" s="11">
        <v>42376</v>
      </c>
      <c r="G62" s="11"/>
      <c r="H62" s="10" t="s">
        <v>20</v>
      </c>
      <c r="I62" s="10" t="s">
        <v>26</v>
      </c>
      <c r="J62" s="12">
        <v>27950000000</v>
      </c>
      <c r="K62" s="12">
        <v>27950000000</v>
      </c>
      <c r="L62" s="12">
        <v>0</v>
      </c>
      <c r="M62" s="12"/>
      <c r="N62" s="12">
        <v>27950000000</v>
      </c>
      <c r="O62" s="12">
        <v>27950000000</v>
      </c>
      <c r="P62" s="12">
        <v>0</v>
      </c>
      <c r="Q62" s="12">
        <v>0</v>
      </c>
      <c r="R62" s="12">
        <v>0</v>
      </c>
      <c r="S62" s="12"/>
      <c r="T62" s="12">
        <v>0</v>
      </c>
      <c r="U62" s="12">
        <v>83850000000</v>
      </c>
      <c r="V62" s="12"/>
      <c r="W62" s="10"/>
      <c r="X62" s="13"/>
      <c r="Y62" s="10"/>
      <c r="Z62" s="13"/>
      <c r="AA62" s="13"/>
    </row>
    <row r="63" spans="1:27" x14ac:dyDescent="0.25">
      <c r="A63" s="10" t="s">
        <v>343</v>
      </c>
      <c r="B63" s="10"/>
      <c r="C63" s="10"/>
      <c r="D63" s="10" t="s">
        <v>345</v>
      </c>
      <c r="E63" s="10" t="s">
        <v>19</v>
      </c>
      <c r="F63" s="11">
        <v>43837</v>
      </c>
      <c r="G63" s="11"/>
      <c r="H63" s="10" t="s">
        <v>40</v>
      </c>
      <c r="I63" s="10" t="s">
        <v>36</v>
      </c>
      <c r="J63" s="12">
        <v>4691000000</v>
      </c>
      <c r="K63" s="12">
        <v>25000000000</v>
      </c>
      <c r="L63" s="12">
        <v>0</v>
      </c>
      <c r="M63" s="12">
        <v>0</v>
      </c>
      <c r="N63" s="12">
        <v>64800000000</v>
      </c>
      <c r="O63" s="12">
        <v>64800000000</v>
      </c>
      <c r="P63" s="12">
        <v>0</v>
      </c>
      <c r="Q63" s="12">
        <v>0</v>
      </c>
      <c r="R63" s="12">
        <v>0</v>
      </c>
      <c r="S63" s="12"/>
      <c r="T63" s="12">
        <v>0</v>
      </c>
      <c r="U63" s="12">
        <v>94491000000</v>
      </c>
      <c r="V63" s="12"/>
      <c r="W63" s="10"/>
      <c r="X63" s="13"/>
      <c r="Y63" s="10"/>
      <c r="Z63" s="13"/>
      <c r="AA63" s="13"/>
    </row>
    <row r="64" spans="1:27" x14ac:dyDescent="0.25">
      <c r="A64" s="10" t="s">
        <v>343</v>
      </c>
      <c r="B64" s="10"/>
      <c r="C64" s="10"/>
      <c r="D64" s="10" t="s">
        <v>346</v>
      </c>
      <c r="E64" s="10" t="s">
        <v>19</v>
      </c>
      <c r="F64" s="11">
        <v>43837</v>
      </c>
      <c r="G64" s="11"/>
      <c r="H64" s="10" t="s">
        <v>20</v>
      </c>
      <c r="I64" s="10" t="s">
        <v>21</v>
      </c>
      <c r="J64" s="12">
        <v>0</v>
      </c>
      <c r="K64" s="12">
        <v>400000000</v>
      </c>
      <c r="L64" s="12">
        <v>0</v>
      </c>
      <c r="M64" s="12">
        <v>0</v>
      </c>
      <c r="N64" s="12">
        <v>16976000000</v>
      </c>
      <c r="O64" s="12">
        <v>16976000000</v>
      </c>
      <c r="P64" s="12">
        <v>9288000000</v>
      </c>
      <c r="Q64" s="12">
        <v>9417000000</v>
      </c>
      <c r="R64" s="12">
        <v>7055000000</v>
      </c>
      <c r="S64" s="12"/>
      <c r="T64" s="12"/>
      <c r="U64" s="12">
        <v>43136000000</v>
      </c>
      <c r="V64" s="12"/>
      <c r="W64" s="10"/>
      <c r="X64" s="13"/>
      <c r="Y64" s="10"/>
      <c r="Z64" s="13"/>
      <c r="AA64" s="13"/>
    </row>
    <row r="65" spans="1:27" x14ac:dyDescent="0.25">
      <c r="A65" s="10" t="s">
        <v>347</v>
      </c>
      <c r="B65" s="10"/>
      <c r="C65" s="10"/>
      <c r="D65" s="10" t="s">
        <v>348</v>
      </c>
      <c r="E65" s="10" t="s">
        <v>25</v>
      </c>
      <c r="F65" s="11">
        <v>43556</v>
      </c>
      <c r="G65" s="11"/>
      <c r="H65" s="10" t="s">
        <v>20</v>
      </c>
      <c r="I65" s="10" t="s">
        <v>36</v>
      </c>
      <c r="J65" s="12">
        <v>39433507260</v>
      </c>
      <c r="K65" s="12">
        <v>43521160000</v>
      </c>
      <c r="L65" s="12"/>
      <c r="M65" s="12"/>
      <c r="N65" s="12">
        <v>61884000000</v>
      </c>
      <c r="O65" s="12">
        <v>61884000000</v>
      </c>
      <c r="P65" s="12">
        <v>82010000000</v>
      </c>
      <c r="Q65" s="12">
        <v>0</v>
      </c>
      <c r="R65" s="12">
        <v>0</v>
      </c>
      <c r="S65" s="12"/>
      <c r="T65" s="12"/>
      <c r="U65" s="12">
        <v>226848667260</v>
      </c>
      <c r="V65" s="12">
        <v>1345320000000</v>
      </c>
      <c r="W65" s="10" t="s">
        <v>349</v>
      </c>
      <c r="X65" s="13"/>
      <c r="Y65" s="10" t="s">
        <v>23</v>
      </c>
      <c r="Z65" s="13"/>
      <c r="AA65" s="13"/>
    </row>
    <row r="66" spans="1:27" x14ac:dyDescent="0.25">
      <c r="A66" s="10" t="s">
        <v>347</v>
      </c>
      <c r="B66" s="10"/>
      <c r="C66" s="10"/>
      <c r="D66" s="10" t="s">
        <v>350</v>
      </c>
      <c r="E66" s="10" t="s">
        <v>19</v>
      </c>
      <c r="F66" s="11">
        <v>43282</v>
      </c>
      <c r="G66" s="11"/>
      <c r="H66" s="10" t="s">
        <v>20</v>
      </c>
      <c r="I66" s="10" t="s">
        <v>36</v>
      </c>
      <c r="J66" s="12">
        <v>50000000</v>
      </c>
      <c r="K66" s="12">
        <v>50000000</v>
      </c>
      <c r="L66" s="12"/>
      <c r="M66" s="12"/>
      <c r="N66" s="12">
        <v>2900000000</v>
      </c>
      <c r="O66" s="12">
        <v>2900000000</v>
      </c>
      <c r="P66" s="12">
        <v>3480000000</v>
      </c>
      <c r="Q66" s="12">
        <v>0</v>
      </c>
      <c r="R66" s="12">
        <v>0</v>
      </c>
      <c r="S66" s="12">
        <v>0</v>
      </c>
      <c r="T66" s="12"/>
      <c r="U66" s="12">
        <v>6480000000</v>
      </c>
      <c r="V66" s="12">
        <v>250000000</v>
      </c>
      <c r="W66" s="10" t="s">
        <v>351</v>
      </c>
      <c r="X66" s="13"/>
      <c r="Y66" s="10" t="s">
        <v>28</v>
      </c>
      <c r="Z66" s="13"/>
      <c r="AA66" s="13"/>
    </row>
    <row r="67" spans="1:27" x14ac:dyDescent="0.25">
      <c r="A67" s="10" t="s">
        <v>347</v>
      </c>
      <c r="B67" s="10"/>
      <c r="C67" s="10"/>
      <c r="D67" s="10" t="s">
        <v>352</v>
      </c>
      <c r="E67" s="10" t="s">
        <v>19</v>
      </c>
      <c r="F67" s="11">
        <v>44013</v>
      </c>
      <c r="G67" s="11"/>
      <c r="H67" s="10" t="s">
        <v>20</v>
      </c>
      <c r="I67" s="10" t="s">
        <v>21</v>
      </c>
      <c r="J67" s="12">
        <v>0</v>
      </c>
      <c r="K67" s="12">
        <v>2353200000</v>
      </c>
      <c r="L67" s="12"/>
      <c r="M67" s="12"/>
      <c r="N67" s="12">
        <v>2350000000</v>
      </c>
      <c r="O67" s="12">
        <v>2350000000</v>
      </c>
      <c r="P67" s="12">
        <v>4000000000</v>
      </c>
      <c r="Q67" s="12">
        <v>4000000000</v>
      </c>
      <c r="R67" s="12">
        <v>4000000000</v>
      </c>
      <c r="S67" s="12">
        <v>0</v>
      </c>
      <c r="T67" s="12"/>
      <c r="U67" s="12">
        <v>57871160000</v>
      </c>
      <c r="V67" s="12">
        <v>20000000000</v>
      </c>
      <c r="W67" s="10"/>
      <c r="X67" s="13"/>
      <c r="Y67" s="10"/>
      <c r="Z67" s="13"/>
      <c r="AA67" s="13"/>
    </row>
    <row r="68" spans="1:27" x14ac:dyDescent="0.25">
      <c r="A68" s="10" t="s">
        <v>347</v>
      </c>
      <c r="B68" s="10"/>
      <c r="C68" s="10"/>
      <c r="D68" s="10" t="s">
        <v>353</v>
      </c>
      <c r="E68" s="10" t="s">
        <v>25</v>
      </c>
      <c r="F68" s="11">
        <v>42011</v>
      </c>
      <c r="G68" s="11"/>
      <c r="H68" s="10" t="s">
        <v>20</v>
      </c>
      <c r="I68" s="10" t="s">
        <v>36</v>
      </c>
      <c r="J68" s="12">
        <v>30550068678</v>
      </c>
      <c r="K68" s="12">
        <v>24820000000</v>
      </c>
      <c r="L68" s="12"/>
      <c r="M68" s="12"/>
      <c r="N68" s="12">
        <v>0</v>
      </c>
      <c r="O68" s="12">
        <v>0</v>
      </c>
      <c r="P68" s="12">
        <v>0</v>
      </c>
      <c r="Q68" s="12">
        <v>0</v>
      </c>
      <c r="R68" s="12">
        <v>0</v>
      </c>
      <c r="S68" s="12"/>
      <c r="T68" s="12"/>
      <c r="U68" s="12">
        <v>55370068678</v>
      </c>
      <c r="V68" s="12">
        <v>93425000000</v>
      </c>
      <c r="W68" s="10" t="s">
        <v>354</v>
      </c>
      <c r="X68" s="13"/>
      <c r="Y68" s="10"/>
      <c r="Z68" s="13"/>
      <c r="AA68" s="13"/>
    </row>
    <row r="69" spans="1:27" x14ac:dyDescent="0.25">
      <c r="A69" s="10" t="s">
        <v>347</v>
      </c>
      <c r="B69" s="10"/>
      <c r="C69" s="10"/>
      <c r="D69" s="10" t="s">
        <v>355</v>
      </c>
      <c r="E69" s="10" t="s">
        <v>25</v>
      </c>
      <c r="F69" s="11">
        <v>41821</v>
      </c>
      <c r="G69" s="11"/>
      <c r="H69" s="10" t="s">
        <v>20</v>
      </c>
      <c r="I69" s="10" t="s">
        <v>36</v>
      </c>
      <c r="J69" s="12">
        <v>173892176479</v>
      </c>
      <c r="K69" s="12">
        <v>32670000000</v>
      </c>
      <c r="L69" s="12"/>
      <c r="M69" s="12"/>
      <c r="N69" s="12">
        <v>55040000000</v>
      </c>
      <c r="O69" s="12">
        <v>55040000000</v>
      </c>
      <c r="P69" s="12">
        <v>0</v>
      </c>
      <c r="Q69" s="12">
        <v>0</v>
      </c>
      <c r="R69" s="12">
        <v>0</v>
      </c>
      <c r="S69" s="12"/>
      <c r="T69" s="12"/>
      <c r="U69" s="12">
        <v>261602176479</v>
      </c>
      <c r="V69" s="12">
        <v>402474900000</v>
      </c>
      <c r="W69" s="10" t="s">
        <v>356</v>
      </c>
      <c r="X69" s="13"/>
      <c r="Y69" s="10"/>
      <c r="Z69" s="13"/>
      <c r="AA69" s="13"/>
    </row>
    <row r="70" spans="1:27" x14ac:dyDescent="0.25">
      <c r="A70" s="10" t="s">
        <v>347</v>
      </c>
      <c r="B70" s="10"/>
      <c r="C70" s="10"/>
      <c r="D70" s="10" t="s">
        <v>355</v>
      </c>
      <c r="E70" s="10" t="s">
        <v>19</v>
      </c>
      <c r="F70" s="11">
        <v>41821</v>
      </c>
      <c r="G70" s="11">
        <v>44712</v>
      </c>
      <c r="H70" s="10" t="s">
        <v>20</v>
      </c>
      <c r="I70" s="10" t="s">
        <v>36</v>
      </c>
      <c r="J70" s="12">
        <v>14370000000</v>
      </c>
      <c r="K70" s="12">
        <v>3670000000</v>
      </c>
      <c r="L70" s="12"/>
      <c r="M70" s="12"/>
      <c r="N70" s="12">
        <v>3670000000</v>
      </c>
      <c r="O70" s="12">
        <v>3670000000</v>
      </c>
      <c r="P70" s="12">
        <v>0</v>
      </c>
      <c r="Q70" s="12">
        <v>0</v>
      </c>
      <c r="R70" s="12">
        <v>0</v>
      </c>
      <c r="S70" s="12"/>
      <c r="T70" s="12"/>
      <c r="U70" s="12">
        <v>21710000000</v>
      </c>
      <c r="V70" s="12">
        <v>32720000000</v>
      </c>
      <c r="W70" s="10" t="s">
        <v>357</v>
      </c>
      <c r="X70" s="13"/>
      <c r="Y70" s="10"/>
      <c r="Z70" s="13"/>
      <c r="AA70" s="13"/>
    </row>
    <row r="71" spans="1:27" x14ac:dyDescent="0.25">
      <c r="A71" s="10" t="s">
        <v>347</v>
      </c>
      <c r="B71" s="10"/>
      <c r="C71" s="10"/>
      <c r="D71" s="10" t="s">
        <v>350</v>
      </c>
      <c r="E71" s="10" t="s">
        <v>25</v>
      </c>
      <c r="F71" s="11">
        <v>43282</v>
      </c>
      <c r="G71" s="11"/>
      <c r="H71" s="10" t="s">
        <v>20</v>
      </c>
      <c r="I71" s="10" t="s">
        <v>36</v>
      </c>
      <c r="J71" s="12"/>
      <c r="K71" s="12"/>
      <c r="L71" s="12"/>
      <c r="M71" s="12"/>
      <c r="N71" s="12"/>
      <c r="O71" s="12">
        <v>0</v>
      </c>
      <c r="P71" s="12">
        <v>0</v>
      </c>
      <c r="Q71" s="12">
        <v>0</v>
      </c>
      <c r="R71" s="12">
        <v>0</v>
      </c>
      <c r="S71" s="12"/>
      <c r="T71" s="12"/>
      <c r="U71" s="12">
        <v>0</v>
      </c>
      <c r="V71" s="12"/>
      <c r="W71" s="10" t="s">
        <v>358</v>
      </c>
      <c r="X71" s="13"/>
      <c r="Y71" s="10"/>
      <c r="Z71" s="13"/>
      <c r="AA71" s="13"/>
    </row>
    <row r="72" spans="1:27" x14ac:dyDescent="0.25">
      <c r="A72" s="10" t="s">
        <v>359</v>
      </c>
      <c r="B72" s="10"/>
      <c r="C72" s="10"/>
      <c r="D72" s="10" t="s">
        <v>360</v>
      </c>
      <c r="E72" s="10" t="s">
        <v>19</v>
      </c>
      <c r="F72" s="11">
        <v>43282</v>
      </c>
      <c r="G72" s="11">
        <v>44742</v>
      </c>
      <c r="H72" s="10" t="s">
        <v>20</v>
      </c>
      <c r="I72" s="10" t="s">
        <v>36</v>
      </c>
      <c r="J72" s="12">
        <v>41586431087</v>
      </c>
      <c r="K72" s="12">
        <v>42125000000</v>
      </c>
      <c r="L72" s="12">
        <v>44500000000</v>
      </c>
      <c r="M72" s="12">
        <v>0</v>
      </c>
      <c r="N72" s="12">
        <v>218200000000</v>
      </c>
      <c r="O72" s="12">
        <v>262700000000</v>
      </c>
      <c r="P72" s="12"/>
      <c r="Q72" s="12"/>
      <c r="R72" s="12"/>
      <c r="S72" s="12"/>
      <c r="T72" s="12"/>
      <c r="U72" s="12">
        <v>346411431087</v>
      </c>
      <c r="V72" s="12">
        <v>143741414059</v>
      </c>
      <c r="W72" s="10" t="s">
        <v>361</v>
      </c>
      <c r="X72" s="13"/>
      <c r="Y72" s="10" t="s">
        <v>23</v>
      </c>
      <c r="Z72" s="13"/>
      <c r="AA72" s="13"/>
    </row>
    <row r="73" spans="1:27" x14ac:dyDescent="0.25">
      <c r="A73" s="10" t="s">
        <v>359</v>
      </c>
      <c r="B73" s="10"/>
      <c r="C73" s="10"/>
      <c r="D73" s="10" t="s">
        <v>362</v>
      </c>
      <c r="E73" s="10" t="s">
        <v>19</v>
      </c>
      <c r="F73" s="11"/>
      <c r="G73" s="11"/>
      <c r="H73" s="10" t="s">
        <v>20</v>
      </c>
      <c r="I73" s="10" t="s">
        <v>21</v>
      </c>
      <c r="J73" s="12">
        <v>0</v>
      </c>
      <c r="K73" s="12">
        <v>0</v>
      </c>
      <c r="L73" s="12">
        <v>0</v>
      </c>
      <c r="M73" s="12">
        <v>0</v>
      </c>
      <c r="N73" s="12">
        <v>22290000000</v>
      </c>
      <c r="O73" s="12">
        <v>22290000000</v>
      </c>
      <c r="P73" s="12">
        <v>9802000000</v>
      </c>
      <c r="Q73" s="12">
        <v>7680000000</v>
      </c>
      <c r="R73" s="12">
        <v>7055000000</v>
      </c>
      <c r="S73" s="12">
        <v>5993000000</v>
      </c>
      <c r="T73" s="12"/>
      <c r="U73" s="12">
        <v>52820000000</v>
      </c>
      <c r="V73" s="12">
        <v>52820000000</v>
      </c>
      <c r="W73" s="10" t="s">
        <v>363</v>
      </c>
      <c r="X73" s="13"/>
      <c r="Y73" s="10" t="s">
        <v>28</v>
      </c>
      <c r="Z73" s="13"/>
      <c r="AA73" s="13"/>
    </row>
    <row r="74" spans="1:27" x14ac:dyDescent="0.25">
      <c r="A74" s="10" t="s">
        <v>359</v>
      </c>
      <c r="B74" s="10"/>
      <c r="C74" s="10"/>
      <c r="D74" s="10" t="s">
        <v>362</v>
      </c>
      <c r="E74" s="10" t="s">
        <v>19</v>
      </c>
      <c r="F74" s="11"/>
      <c r="G74" s="11"/>
      <c r="H74" s="10" t="s">
        <v>20</v>
      </c>
      <c r="I74" s="10" t="s">
        <v>26</v>
      </c>
      <c r="J74" s="12">
        <v>7691278760</v>
      </c>
      <c r="K74" s="12">
        <v>10000000000</v>
      </c>
      <c r="L74" s="12">
        <v>0</v>
      </c>
      <c r="M74" s="12">
        <v>0</v>
      </c>
      <c r="N74" s="12">
        <v>185421000000</v>
      </c>
      <c r="O74" s="12">
        <v>185421000000</v>
      </c>
      <c r="P74" s="12">
        <v>179063100000</v>
      </c>
      <c r="Q74" s="12">
        <v>262818410000</v>
      </c>
      <c r="R74" s="12"/>
      <c r="S74" s="12"/>
      <c r="T74" s="12">
        <v>0</v>
      </c>
      <c r="U74" s="12">
        <v>644993788760</v>
      </c>
      <c r="V74" s="12">
        <v>755987510000</v>
      </c>
      <c r="W74" s="10" t="s">
        <v>364</v>
      </c>
      <c r="X74" s="13"/>
      <c r="Y74" s="10"/>
      <c r="Z74" s="13"/>
      <c r="AA74" s="13"/>
    </row>
    <row r="75" spans="1:27" x14ac:dyDescent="0.25">
      <c r="A75" s="10" t="s">
        <v>359</v>
      </c>
      <c r="B75" s="10"/>
      <c r="C75" s="10"/>
      <c r="D75" s="10" t="s">
        <v>365</v>
      </c>
      <c r="E75" s="10" t="s">
        <v>19</v>
      </c>
      <c r="F75" s="11">
        <v>43647</v>
      </c>
      <c r="G75" s="11">
        <v>45473</v>
      </c>
      <c r="H75" s="10" t="s">
        <v>20</v>
      </c>
      <c r="I75" s="10" t="s">
        <v>36</v>
      </c>
      <c r="J75" s="12">
        <v>10430000000</v>
      </c>
      <c r="K75" s="12">
        <v>12400000000</v>
      </c>
      <c r="L75" s="12">
        <v>0</v>
      </c>
      <c r="M75" s="12">
        <v>0</v>
      </c>
      <c r="N75" s="12">
        <v>49480000000</v>
      </c>
      <c r="O75" s="12">
        <v>49480000000</v>
      </c>
      <c r="P75" s="12">
        <v>24472000000</v>
      </c>
      <c r="Q75" s="12">
        <v>17218000000</v>
      </c>
      <c r="R75" s="12"/>
      <c r="S75" s="12"/>
      <c r="T75" s="12"/>
      <c r="U75" s="12">
        <v>114000000000</v>
      </c>
      <c r="V75" s="12">
        <v>114000000000</v>
      </c>
      <c r="W75" s="10"/>
      <c r="X75" s="13"/>
      <c r="Y75" s="10"/>
      <c r="Z75" s="13"/>
      <c r="AA75" s="13"/>
    </row>
    <row r="76" spans="1:27" x14ac:dyDescent="0.25">
      <c r="A76" s="10" t="s">
        <v>359</v>
      </c>
      <c r="B76" s="10"/>
      <c r="C76" s="10"/>
      <c r="D76" s="10" t="s">
        <v>365</v>
      </c>
      <c r="E76" s="10" t="s">
        <v>25</v>
      </c>
      <c r="F76" s="11">
        <v>43647</v>
      </c>
      <c r="G76" s="11">
        <v>45474</v>
      </c>
      <c r="H76" s="10" t="s">
        <v>20</v>
      </c>
      <c r="I76" s="10" t="s">
        <v>36</v>
      </c>
      <c r="J76" s="12">
        <v>36160000000</v>
      </c>
      <c r="K76" s="12">
        <v>133356885000</v>
      </c>
      <c r="L76" s="12">
        <v>0</v>
      </c>
      <c r="M76" s="12">
        <v>0</v>
      </c>
      <c r="N76" s="12">
        <v>137568815468</v>
      </c>
      <c r="O76" s="12">
        <v>137568815468</v>
      </c>
      <c r="P76" s="12">
        <v>11319098000</v>
      </c>
      <c r="Q76" s="12">
        <v>2177875000</v>
      </c>
      <c r="R76" s="12">
        <v>0</v>
      </c>
      <c r="S76" s="12"/>
      <c r="T76" s="12"/>
      <c r="U76" s="12">
        <v>320582673468</v>
      </c>
      <c r="V76" s="12">
        <v>321980000000</v>
      </c>
      <c r="W76" s="10"/>
      <c r="X76" s="13"/>
      <c r="Y76" s="10"/>
      <c r="Z76" s="13"/>
      <c r="AA76" s="13"/>
    </row>
    <row r="77" spans="1:27" x14ac:dyDescent="0.25">
      <c r="A77" s="10" t="s">
        <v>366</v>
      </c>
      <c r="B77" s="10"/>
      <c r="C77" s="10"/>
      <c r="D77" s="10" t="s">
        <v>367</v>
      </c>
      <c r="E77" s="10" t="s">
        <v>19</v>
      </c>
      <c r="F77" s="11">
        <v>44013</v>
      </c>
      <c r="G77" s="11">
        <v>45838</v>
      </c>
      <c r="H77" s="10" t="s">
        <v>20</v>
      </c>
      <c r="I77" s="10" t="s">
        <v>21</v>
      </c>
      <c r="J77" s="12">
        <v>0</v>
      </c>
      <c r="K77" s="12">
        <v>1117969000</v>
      </c>
      <c r="L77" s="12">
        <v>500000000</v>
      </c>
      <c r="M77" s="12"/>
      <c r="N77" s="12">
        <v>8132031000</v>
      </c>
      <c r="O77" s="12">
        <v>8632031000</v>
      </c>
      <c r="P77" s="12">
        <v>5240000000</v>
      </c>
      <c r="Q77" s="12">
        <v>4360000000</v>
      </c>
      <c r="R77" s="12">
        <v>3900000000</v>
      </c>
      <c r="S77" s="12"/>
      <c r="T77" s="12"/>
      <c r="U77" s="12">
        <v>23250000000</v>
      </c>
      <c r="V77" s="12">
        <v>23250000000</v>
      </c>
      <c r="W77" s="10"/>
      <c r="X77" s="13"/>
      <c r="Y77" s="10"/>
      <c r="Z77" s="13"/>
      <c r="AA77" s="13"/>
    </row>
    <row r="78" spans="1:27" x14ac:dyDescent="0.25">
      <c r="A78" s="10" t="s">
        <v>366</v>
      </c>
      <c r="B78" s="10"/>
      <c r="C78" s="10"/>
      <c r="D78" s="14" t="s">
        <v>368</v>
      </c>
      <c r="E78" s="10" t="s">
        <v>19</v>
      </c>
      <c r="F78" s="11">
        <v>44378</v>
      </c>
      <c r="G78" s="11">
        <v>46203</v>
      </c>
      <c r="H78" s="10" t="s">
        <v>40</v>
      </c>
      <c r="I78" s="10" t="s">
        <v>36</v>
      </c>
      <c r="J78" s="12">
        <v>0</v>
      </c>
      <c r="K78" s="12">
        <v>0</v>
      </c>
      <c r="L78" s="12">
        <v>0</v>
      </c>
      <c r="M78" s="12"/>
      <c r="N78" s="12">
        <v>8900000000</v>
      </c>
      <c r="O78" s="12">
        <v>8900000000</v>
      </c>
      <c r="P78" s="12">
        <v>11950000000</v>
      </c>
      <c r="Q78" s="12">
        <v>8650000000</v>
      </c>
      <c r="R78" s="12">
        <v>10440000000</v>
      </c>
      <c r="S78" s="12">
        <v>4380000000</v>
      </c>
      <c r="T78" s="12"/>
      <c r="U78" s="12">
        <v>44320000000</v>
      </c>
      <c r="V78" s="12">
        <v>44320000000</v>
      </c>
      <c r="W78" s="10"/>
      <c r="X78" s="13"/>
      <c r="Y78" s="10"/>
      <c r="Z78" s="13"/>
      <c r="AA78" s="13"/>
    </row>
    <row r="79" spans="1:27" x14ac:dyDescent="0.25">
      <c r="A79" s="10" t="s">
        <v>366</v>
      </c>
      <c r="B79" s="10"/>
      <c r="C79" s="10"/>
      <c r="D79" s="10" t="s">
        <v>369</v>
      </c>
      <c r="E79" s="10" t="s">
        <v>19</v>
      </c>
      <c r="F79" s="11">
        <v>44378</v>
      </c>
      <c r="G79" s="11">
        <v>46203</v>
      </c>
      <c r="H79" s="10" t="s">
        <v>40</v>
      </c>
      <c r="I79" s="10" t="s">
        <v>36</v>
      </c>
      <c r="J79" s="12">
        <v>0</v>
      </c>
      <c r="K79" s="12">
        <v>0</v>
      </c>
      <c r="L79" s="12">
        <v>0</v>
      </c>
      <c r="M79" s="12"/>
      <c r="N79" s="12">
        <v>10930000000</v>
      </c>
      <c r="O79" s="12">
        <v>10930000000</v>
      </c>
      <c r="P79" s="12">
        <v>14600000000</v>
      </c>
      <c r="Q79" s="12">
        <v>15290000000</v>
      </c>
      <c r="R79" s="12">
        <v>17390000000</v>
      </c>
      <c r="S79" s="12">
        <v>11480000000</v>
      </c>
      <c r="T79" s="12"/>
      <c r="U79" s="12">
        <v>69690000000</v>
      </c>
      <c r="V79" s="12">
        <v>69690000000</v>
      </c>
      <c r="W79" s="10"/>
      <c r="X79" s="13"/>
      <c r="Y79" s="10"/>
      <c r="Z79" s="13"/>
      <c r="AA79" s="13"/>
    </row>
    <row r="80" spans="1:27" x14ac:dyDescent="0.25">
      <c r="A80" s="10" t="s">
        <v>366</v>
      </c>
      <c r="B80" s="10"/>
      <c r="C80" s="10"/>
      <c r="D80" s="10" t="s">
        <v>370</v>
      </c>
      <c r="E80" s="10" t="s">
        <v>19</v>
      </c>
      <c r="F80" s="11">
        <v>44378</v>
      </c>
      <c r="G80" s="11">
        <v>46203</v>
      </c>
      <c r="H80" s="10" t="s">
        <v>40</v>
      </c>
      <c r="I80" s="10" t="s">
        <v>36</v>
      </c>
      <c r="J80" s="12">
        <v>0</v>
      </c>
      <c r="K80" s="12">
        <v>0</v>
      </c>
      <c r="L80" s="12">
        <v>0</v>
      </c>
      <c r="M80" s="12"/>
      <c r="N80" s="12">
        <v>25750000000</v>
      </c>
      <c r="O80" s="12">
        <v>25750000000</v>
      </c>
      <c r="P80" s="12">
        <v>17000000000</v>
      </c>
      <c r="Q80" s="12">
        <v>25300000000</v>
      </c>
      <c r="R80" s="12">
        <v>16200000000</v>
      </c>
      <c r="S80" s="12">
        <v>6300000000</v>
      </c>
      <c r="T80" s="12"/>
      <c r="U80" s="12">
        <v>90550000000</v>
      </c>
      <c r="V80" s="12">
        <v>90550000000</v>
      </c>
      <c r="W80" s="10"/>
      <c r="X80" s="13"/>
      <c r="Y80" s="10"/>
      <c r="Z80" s="13"/>
      <c r="AA80" s="13"/>
    </row>
    <row r="81" spans="1:27" x14ac:dyDescent="0.25">
      <c r="A81" s="10" t="s">
        <v>371</v>
      </c>
      <c r="B81" s="10"/>
      <c r="C81" s="10"/>
      <c r="D81" s="10" t="s">
        <v>372</v>
      </c>
      <c r="E81" s="10" t="s">
        <v>19</v>
      </c>
      <c r="F81" s="11">
        <v>42186</v>
      </c>
      <c r="G81" s="11">
        <v>44742</v>
      </c>
      <c r="H81" s="10" t="s">
        <v>20</v>
      </c>
      <c r="I81" s="10" t="s">
        <v>36</v>
      </c>
      <c r="J81" s="12">
        <v>14961223000</v>
      </c>
      <c r="K81" s="12">
        <v>3026000000</v>
      </c>
      <c r="L81" s="12">
        <v>5288675782</v>
      </c>
      <c r="M81" s="12">
        <v>0</v>
      </c>
      <c r="N81" s="12">
        <v>6214675782</v>
      </c>
      <c r="O81" s="12">
        <v>11503351564</v>
      </c>
      <c r="P81" s="12">
        <v>0</v>
      </c>
      <c r="Q81" s="12">
        <v>0</v>
      </c>
      <c r="R81" s="12">
        <v>0</v>
      </c>
      <c r="S81" s="12">
        <v>0</v>
      </c>
      <c r="T81" s="12">
        <v>0</v>
      </c>
      <c r="U81" s="12">
        <v>29490574564</v>
      </c>
      <c r="V81" s="12"/>
      <c r="W81" s="10" t="s">
        <v>373</v>
      </c>
      <c r="X81" s="13"/>
      <c r="Y81" s="10" t="s">
        <v>23</v>
      </c>
      <c r="Z81" s="13"/>
      <c r="AA81" s="13"/>
    </row>
    <row r="82" spans="1:27" x14ac:dyDescent="0.25">
      <c r="A82" s="10" t="s">
        <v>371</v>
      </c>
      <c r="B82" s="10"/>
      <c r="C82" s="10"/>
      <c r="D82" s="10" t="s">
        <v>374</v>
      </c>
      <c r="E82" s="10" t="s">
        <v>19</v>
      </c>
      <c r="F82" s="11">
        <v>44013</v>
      </c>
      <c r="G82" s="11">
        <v>45838</v>
      </c>
      <c r="H82" s="10" t="s">
        <v>20</v>
      </c>
      <c r="I82" s="10" t="s">
        <v>21</v>
      </c>
      <c r="J82" s="12">
        <v>0</v>
      </c>
      <c r="K82" s="12">
        <v>659769000</v>
      </c>
      <c r="L82" s="12">
        <v>0</v>
      </c>
      <c r="M82" s="12">
        <v>0</v>
      </c>
      <c r="N82" s="12">
        <v>1878540000</v>
      </c>
      <c r="O82" s="12">
        <v>1878540000</v>
      </c>
      <c r="P82" s="12">
        <v>1631121000</v>
      </c>
      <c r="Q82" s="12">
        <v>1658770000</v>
      </c>
      <c r="R82" s="12">
        <v>1666800000</v>
      </c>
      <c r="S82" s="12">
        <v>0</v>
      </c>
      <c r="T82" s="12">
        <v>0</v>
      </c>
      <c r="U82" s="12">
        <v>7495000000</v>
      </c>
      <c r="V82" s="12"/>
      <c r="W82" s="10" t="s">
        <v>375</v>
      </c>
      <c r="X82" s="13"/>
      <c r="Y82" s="10" t="s">
        <v>28</v>
      </c>
      <c r="Z82" s="13"/>
      <c r="AA82" s="13"/>
    </row>
    <row r="83" spans="1:27" x14ac:dyDescent="0.25">
      <c r="A83" s="10" t="s">
        <v>376</v>
      </c>
      <c r="B83" s="10"/>
      <c r="C83" s="10"/>
      <c r="D83" s="10" t="s">
        <v>377</v>
      </c>
      <c r="E83" s="10" t="s">
        <v>19</v>
      </c>
      <c r="F83" s="11">
        <v>42917</v>
      </c>
      <c r="G83" s="11">
        <v>44742</v>
      </c>
      <c r="H83" s="10" t="s">
        <v>20</v>
      </c>
      <c r="I83" s="10" t="s">
        <v>26</v>
      </c>
      <c r="J83" s="12">
        <v>1471357151</v>
      </c>
      <c r="K83" s="12">
        <v>1207763000</v>
      </c>
      <c r="L83" s="12">
        <v>450000000</v>
      </c>
      <c r="M83" s="12">
        <v>0</v>
      </c>
      <c r="N83" s="12">
        <v>31464360000</v>
      </c>
      <c r="O83" s="12">
        <v>31914360000</v>
      </c>
      <c r="P83" s="12">
        <v>0</v>
      </c>
      <c r="Q83" s="12">
        <v>0</v>
      </c>
      <c r="R83" s="12">
        <v>0</v>
      </c>
      <c r="S83" s="12">
        <v>0</v>
      </c>
      <c r="T83" s="12">
        <v>0</v>
      </c>
      <c r="U83" s="12">
        <v>34593480151</v>
      </c>
      <c r="V83" s="12"/>
      <c r="W83" s="10" t="s">
        <v>378</v>
      </c>
      <c r="X83" s="13"/>
      <c r="Y83" s="10" t="s">
        <v>23</v>
      </c>
      <c r="Z83" s="13"/>
      <c r="AA83" s="13"/>
    </row>
    <row r="84" spans="1:27" x14ac:dyDescent="0.25">
      <c r="A84" s="10" t="s">
        <v>376</v>
      </c>
      <c r="B84" s="10"/>
      <c r="C84" s="10"/>
      <c r="D84" s="10" t="s">
        <v>379</v>
      </c>
      <c r="E84" s="10" t="s">
        <v>19</v>
      </c>
      <c r="F84" s="11">
        <v>44013</v>
      </c>
      <c r="G84" s="11">
        <v>45838</v>
      </c>
      <c r="H84" s="10" t="s">
        <v>20</v>
      </c>
      <c r="I84" s="10" t="s">
        <v>21</v>
      </c>
      <c r="J84" s="12">
        <v>0</v>
      </c>
      <c r="K84" s="12">
        <v>426000000</v>
      </c>
      <c r="L84" s="12">
        <v>0</v>
      </c>
      <c r="M84" s="12">
        <v>0</v>
      </c>
      <c r="N84" s="12">
        <v>2727500000</v>
      </c>
      <c r="O84" s="12">
        <v>2727500000</v>
      </c>
      <c r="P84" s="12">
        <v>3560000000</v>
      </c>
      <c r="Q84" s="12">
        <v>3027500000</v>
      </c>
      <c r="R84" s="12">
        <v>1923000000</v>
      </c>
      <c r="S84" s="12">
        <v>0</v>
      </c>
      <c r="T84" s="12">
        <v>0</v>
      </c>
      <c r="U84" s="12">
        <v>11664000000</v>
      </c>
      <c r="V84" s="12"/>
      <c r="W84" s="10" t="s">
        <v>380</v>
      </c>
      <c r="X84" s="13"/>
      <c r="Y84" s="10" t="s">
        <v>28</v>
      </c>
      <c r="Z84" s="13"/>
      <c r="AA84" s="13"/>
    </row>
    <row r="85" spans="1:27" x14ac:dyDescent="0.25">
      <c r="A85" s="10" t="s">
        <v>381</v>
      </c>
      <c r="B85" s="10"/>
      <c r="C85" s="10"/>
      <c r="D85" s="10" t="s">
        <v>382</v>
      </c>
      <c r="E85" s="10" t="s">
        <v>19</v>
      </c>
      <c r="F85" s="11">
        <v>44013</v>
      </c>
      <c r="G85" s="11">
        <v>45838</v>
      </c>
      <c r="H85" s="10" t="s">
        <v>20</v>
      </c>
      <c r="I85" s="10" t="s">
        <v>21</v>
      </c>
      <c r="J85" s="12">
        <v>0</v>
      </c>
      <c r="K85" s="12">
        <v>56280720</v>
      </c>
      <c r="L85" s="12">
        <v>0</v>
      </c>
      <c r="M85" s="12">
        <v>0</v>
      </c>
      <c r="N85" s="12">
        <v>2263000000</v>
      </c>
      <c r="O85" s="12">
        <v>2263000000</v>
      </c>
      <c r="P85" s="12">
        <v>2219000280</v>
      </c>
      <c r="Q85" s="12">
        <v>1569000000</v>
      </c>
      <c r="R85" s="12">
        <v>1159000000</v>
      </c>
      <c r="S85" s="12">
        <v>0</v>
      </c>
      <c r="T85" s="12">
        <v>0</v>
      </c>
      <c r="U85" s="12">
        <v>7266281000</v>
      </c>
      <c r="V85" s="12"/>
      <c r="W85" s="10" t="s">
        <v>380</v>
      </c>
      <c r="X85" s="13"/>
      <c r="Y85" s="10" t="s">
        <v>23</v>
      </c>
      <c r="Z85" s="13"/>
      <c r="AA85" s="13"/>
    </row>
    <row r="86" spans="1:27" x14ac:dyDescent="0.25">
      <c r="A86" s="10" t="s">
        <v>383</v>
      </c>
      <c r="B86" s="10"/>
      <c r="C86" s="10"/>
      <c r="D86" s="10" t="s">
        <v>384</v>
      </c>
      <c r="E86" s="10" t="s">
        <v>19</v>
      </c>
      <c r="F86" s="11">
        <v>41274</v>
      </c>
      <c r="G86" s="11">
        <v>45473</v>
      </c>
      <c r="H86" s="10" t="s">
        <v>20</v>
      </c>
      <c r="I86" s="10" t="s">
        <v>36</v>
      </c>
      <c r="J86" s="12">
        <v>260000000</v>
      </c>
      <c r="K86" s="12">
        <v>4334763000</v>
      </c>
      <c r="L86" s="12">
        <v>1542552458</v>
      </c>
      <c r="M86" s="12"/>
      <c r="N86" s="12">
        <v>15731567652</v>
      </c>
      <c r="O86" s="12">
        <v>17274120110</v>
      </c>
      <c r="P86" s="12">
        <v>7449891808</v>
      </c>
      <c r="Q86" s="12">
        <v>5100000000</v>
      </c>
      <c r="R86" s="12"/>
      <c r="S86" s="12"/>
      <c r="T86" s="12"/>
      <c r="U86" s="12">
        <v>34418774918</v>
      </c>
      <c r="V86" s="12">
        <v>39420837045</v>
      </c>
      <c r="W86" s="10"/>
      <c r="X86" s="13"/>
      <c r="Y86" s="10" t="s">
        <v>23</v>
      </c>
      <c r="Z86" s="13"/>
      <c r="AA86" s="13"/>
    </row>
    <row r="87" spans="1:27" x14ac:dyDescent="0.25">
      <c r="A87" s="10" t="s">
        <v>383</v>
      </c>
      <c r="B87" s="10"/>
      <c r="C87" s="10"/>
      <c r="D87" s="10" t="s">
        <v>384</v>
      </c>
      <c r="E87" s="10" t="s">
        <v>25</v>
      </c>
      <c r="F87" s="11">
        <v>41274</v>
      </c>
      <c r="G87" s="11">
        <v>45473</v>
      </c>
      <c r="H87" s="10" t="s">
        <v>20</v>
      </c>
      <c r="I87" s="10" t="s">
        <v>36</v>
      </c>
      <c r="J87" s="12">
        <v>0</v>
      </c>
      <c r="K87" s="12">
        <v>23972460300</v>
      </c>
      <c r="L87" s="12">
        <v>0</v>
      </c>
      <c r="M87" s="12"/>
      <c r="N87" s="12">
        <v>87000000000</v>
      </c>
      <c r="O87" s="12">
        <v>87000000000</v>
      </c>
      <c r="P87" s="12">
        <v>41200000000</v>
      </c>
      <c r="Q87" s="12">
        <v>28230000000</v>
      </c>
      <c r="R87" s="12"/>
      <c r="S87" s="12"/>
      <c r="T87" s="12"/>
      <c r="U87" s="12">
        <v>180402460300</v>
      </c>
      <c r="V87" s="12">
        <v>34944928875</v>
      </c>
      <c r="W87" s="10"/>
      <c r="X87" s="13"/>
      <c r="Y87" s="10"/>
      <c r="Z87" s="13"/>
      <c r="AA87" s="13"/>
    </row>
    <row r="88" spans="1:27" x14ac:dyDescent="0.25">
      <c r="A88" s="10" t="s">
        <v>383</v>
      </c>
      <c r="B88" s="10"/>
      <c r="C88" s="10"/>
      <c r="D88" s="10" t="s">
        <v>385</v>
      </c>
      <c r="E88" s="10" t="s">
        <v>19</v>
      </c>
      <c r="F88" s="11">
        <v>42186</v>
      </c>
      <c r="G88" s="11">
        <v>44742</v>
      </c>
      <c r="H88" s="10" t="s">
        <v>20</v>
      </c>
      <c r="I88" s="10" t="s">
        <v>36</v>
      </c>
      <c r="J88" s="12">
        <v>57762522342</v>
      </c>
      <c r="K88" s="12">
        <v>48284110000</v>
      </c>
      <c r="L88" s="12">
        <v>16805923879</v>
      </c>
      <c r="M88" s="12"/>
      <c r="N88" s="12">
        <v>91700000000</v>
      </c>
      <c r="O88" s="12">
        <v>108505923879</v>
      </c>
      <c r="P88" s="12"/>
      <c r="Q88" s="12"/>
      <c r="R88" s="12"/>
      <c r="S88" s="12"/>
      <c r="T88" s="12"/>
      <c r="U88" s="12">
        <v>214552556221</v>
      </c>
      <c r="V88" s="12">
        <v>157410000000</v>
      </c>
      <c r="W88" s="10"/>
      <c r="X88" s="13"/>
      <c r="Y88" s="10" t="s">
        <v>28</v>
      </c>
      <c r="Z88" s="13"/>
      <c r="AA88" s="13"/>
    </row>
    <row r="89" spans="1:27" x14ac:dyDescent="0.25">
      <c r="A89" s="10" t="s">
        <v>383</v>
      </c>
      <c r="B89" s="10"/>
      <c r="C89" s="10"/>
      <c r="D89" s="10" t="s">
        <v>386</v>
      </c>
      <c r="E89" s="10" t="s">
        <v>19</v>
      </c>
      <c r="F89" s="11">
        <v>41821</v>
      </c>
      <c r="G89" s="11">
        <v>44742</v>
      </c>
      <c r="H89" s="10" t="s">
        <v>20</v>
      </c>
      <c r="I89" s="10" t="s">
        <v>36</v>
      </c>
      <c r="J89" s="12">
        <v>38787665052</v>
      </c>
      <c r="K89" s="12">
        <v>47795233000</v>
      </c>
      <c r="L89" s="12">
        <v>1408036890</v>
      </c>
      <c r="M89" s="12"/>
      <c r="N89" s="12">
        <v>4000000000</v>
      </c>
      <c r="O89" s="12">
        <v>5408036890</v>
      </c>
      <c r="P89" s="12"/>
      <c r="Q89" s="12"/>
      <c r="R89" s="12"/>
      <c r="S89" s="12"/>
      <c r="T89" s="12"/>
      <c r="U89" s="12">
        <v>91990934942</v>
      </c>
      <c r="V89" s="12">
        <v>74695559060</v>
      </c>
      <c r="W89" s="10"/>
      <c r="X89" s="13"/>
      <c r="Y89" s="10"/>
      <c r="Z89" s="13"/>
      <c r="AA89" s="13"/>
    </row>
    <row r="90" spans="1:27" x14ac:dyDescent="0.25">
      <c r="A90" s="10" t="s">
        <v>383</v>
      </c>
      <c r="B90" s="10"/>
      <c r="C90" s="10"/>
      <c r="D90" s="10" t="s">
        <v>386</v>
      </c>
      <c r="E90" s="10" t="s">
        <v>25</v>
      </c>
      <c r="F90" s="11">
        <v>41822</v>
      </c>
      <c r="G90" s="11">
        <v>44742</v>
      </c>
      <c r="H90" s="10" t="s">
        <v>20</v>
      </c>
      <c r="I90" s="10" t="s">
        <v>36</v>
      </c>
      <c r="J90" s="12">
        <v>72507706648</v>
      </c>
      <c r="K90" s="12">
        <v>34262272350</v>
      </c>
      <c r="L90" s="12">
        <v>0</v>
      </c>
      <c r="M90" s="12"/>
      <c r="N90" s="12">
        <v>0</v>
      </c>
      <c r="O90" s="12">
        <v>0</v>
      </c>
      <c r="P90" s="12"/>
      <c r="Q90" s="12"/>
      <c r="R90" s="12"/>
      <c r="S90" s="12"/>
      <c r="T90" s="12"/>
      <c r="U90" s="12">
        <v>106769978998</v>
      </c>
      <c r="V90" s="12">
        <v>95067075167</v>
      </c>
      <c r="W90" s="10"/>
      <c r="X90" s="13"/>
      <c r="Y90" s="10"/>
      <c r="Z90" s="13"/>
      <c r="AA90" s="13"/>
    </row>
    <row r="91" spans="1:27" x14ac:dyDescent="0.25">
      <c r="A91" s="10" t="s">
        <v>383</v>
      </c>
      <c r="B91" s="10"/>
      <c r="C91" s="10"/>
      <c r="D91" s="10" t="s">
        <v>387</v>
      </c>
      <c r="E91" s="10" t="s">
        <v>19</v>
      </c>
      <c r="F91" s="11">
        <v>41305</v>
      </c>
      <c r="G91" s="11">
        <v>44742</v>
      </c>
      <c r="H91" s="10" t="s">
        <v>20</v>
      </c>
      <c r="I91" s="10" t="s">
        <v>36</v>
      </c>
      <c r="J91" s="12">
        <v>27861355986</v>
      </c>
      <c r="K91" s="12">
        <v>21676801000</v>
      </c>
      <c r="L91" s="12">
        <v>0</v>
      </c>
      <c r="M91" s="12"/>
      <c r="N91" s="12">
        <v>6558990392</v>
      </c>
      <c r="O91" s="12">
        <v>6558990392</v>
      </c>
      <c r="P91" s="12">
        <v>0</v>
      </c>
      <c r="Q91" s="12">
        <v>0</v>
      </c>
      <c r="R91" s="12">
        <v>0</v>
      </c>
      <c r="S91" s="12"/>
      <c r="T91" s="12"/>
      <c r="U91" s="12">
        <v>56097147378</v>
      </c>
      <c r="V91" s="12">
        <v>62738261349</v>
      </c>
      <c r="W91" s="10"/>
      <c r="X91" s="13"/>
      <c r="Y91" s="10"/>
      <c r="Z91" s="13"/>
      <c r="AA91" s="13"/>
    </row>
    <row r="92" spans="1:27" x14ac:dyDescent="0.25">
      <c r="A92" s="10" t="s">
        <v>383</v>
      </c>
      <c r="B92" s="10"/>
      <c r="C92" s="10"/>
      <c r="D92" s="10" t="s">
        <v>387</v>
      </c>
      <c r="E92" s="10" t="s">
        <v>25</v>
      </c>
      <c r="F92" s="11">
        <v>41305</v>
      </c>
      <c r="G92" s="11">
        <v>44742</v>
      </c>
      <c r="H92" s="10" t="s">
        <v>20</v>
      </c>
      <c r="I92" s="10" t="s">
        <v>36</v>
      </c>
      <c r="J92" s="12">
        <v>79897496374</v>
      </c>
      <c r="K92" s="12">
        <v>86739930000</v>
      </c>
      <c r="L92" s="12">
        <v>0</v>
      </c>
      <c r="M92" s="12"/>
      <c r="N92" s="12">
        <v>87846368568</v>
      </c>
      <c r="O92" s="12">
        <v>87846368568</v>
      </c>
      <c r="P92" s="12">
        <v>0</v>
      </c>
      <c r="Q92" s="12">
        <v>0</v>
      </c>
      <c r="R92" s="12">
        <v>0</v>
      </c>
      <c r="S92" s="12"/>
      <c r="T92" s="12"/>
      <c r="U92" s="12">
        <v>254483794942</v>
      </c>
      <c r="V92" s="12">
        <v>216570000000</v>
      </c>
      <c r="W92" s="10"/>
      <c r="X92" s="13"/>
      <c r="Y92" s="10"/>
      <c r="Z92" s="13"/>
      <c r="AA92" s="13"/>
    </row>
    <row r="93" spans="1:27" x14ac:dyDescent="0.25">
      <c r="A93" s="10" t="s">
        <v>383</v>
      </c>
      <c r="B93" s="10"/>
      <c r="C93" s="10"/>
      <c r="D93" s="10" t="s">
        <v>388</v>
      </c>
      <c r="E93" s="10" t="s">
        <v>19</v>
      </c>
      <c r="F93" s="11">
        <v>41670</v>
      </c>
      <c r="G93" s="11">
        <v>44377</v>
      </c>
      <c r="H93" s="10" t="s">
        <v>20</v>
      </c>
      <c r="I93" s="10" t="s">
        <v>36</v>
      </c>
      <c r="J93" s="12">
        <v>26632189765</v>
      </c>
      <c r="K93" s="12">
        <v>8363081000</v>
      </c>
      <c r="L93" s="12">
        <v>0</v>
      </c>
      <c r="M93" s="12"/>
      <c r="N93" s="12">
        <v>7269113744</v>
      </c>
      <c r="O93" s="12">
        <v>7269113744</v>
      </c>
      <c r="P93" s="12">
        <v>0</v>
      </c>
      <c r="Q93" s="12">
        <v>0</v>
      </c>
      <c r="R93" s="12">
        <v>0</v>
      </c>
      <c r="S93" s="12"/>
      <c r="T93" s="12"/>
      <c r="U93" s="12">
        <v>42264384509</v>
      </c>
      <c r="V93" s="12">
        <v>92476741437</v>
      </c>
      <c r="W93" s="10"/>
      <c r="X93" s="13"/>
      <c r="Y93" s="10"/>
      <c r="Z93" s="13"/>
      <c r="AA93" s="13"/>
    </row>
    <row r="94" spans="1:27" x14ac:dyDescent="0.25">
      <c r="A94" s="10" t="s">
        <v>383</v>
      </c>
      <c r="B94" s="10"/>
      <c r="C94" s="10"/>
      <c r="D94" s="10" t="s">
        <v>388</v>
      </c>
      <c r="E94" s="10" t="s">
        <v>25</v>
      </c>
      <c r="F94" s="11">
        <v>41670</v>
      </c>
      <c r="G94" s="11">
        <v>44377</v>
      </c>
      <c r="H94" s="10" t="s">
        <v>20</v>
      </c>
      <c r="I94" s="10" t="s">
        <v>36</v>
      </c>
      <c r="J94" s="12">
        <v>176786282296</v>
      </c>
      <c r="K94" s="12">
        <v>105162570000</v>
      </c>
      <c r="L94" s="12">
        <v>0</v>
      </c>
      <c r="M94" s="12"/>
      <c r="N94" s="12">
        <v>79964761227</v>
      </c>
      <c r="O94" s="12">
        <v>79964761227</v>
      </c>
      <c r="P94" s="12">
        <v>0</v>
      </c>
      <c r="Q94" s="12">
        <v>0</v>
      </c>
      <c r="R94" s="12">
        <v>0</v>
      </c>
      <c r="S94" s="12"/>
      <c r="T94" s="12"/>
      <c r="U94" s="12">
        <v>361913613523</v>
      </c>
      <c r="V94" s="12">
        <v>247728959498</v>
      </c>
      <c r="W94" s="10"/>
      <c r="X94" s="13"/>
      <c r="Y94" s="10"/>
      <c r="Z94" s="13"/>
      <c r="AA94" s="13"/>
    </row>
    <row r="95" spans="1:27" x14ac:dyDescent="0.25">
      <c r="A95" s="10" t="s">
        <v>383</v>
      </c>
      <c r="B95" s="10"/>
      <c r="C95" s="10"/>
      <c r="D95" s="10" t="s">
        <v>389</v>
      </c>
      <c r="E95" s="10" t="s">
        <v>19</v>
      </c>
      <c r="F95" s="11">
        <v>40877</v>
      </c>
      <c r="G95" s="11">
        <v>44742</v>
      </c>
      <c r="H95" s="10" t="s">
        <v>20</v>
      </c>
      <c r="I95" s="10" t="s">
        <v>36</v>
      </c>
      <c r="J95" s="12">
        <v>9719477048</v>
      </c>
      <c r="K95" s="12">
        <v>221920600000</v>
      </c>
      <c r="L95" s="12">
        <v>83304597757</v>
      </c>
      <c r="M95" s="12"/>
      <c r="N95" s="12">
        <v>72904083180</v>
      </c>
      <c r="O95" s="12">
        <v>156208680937</v>
      </c>
      <c r="P95" s="12">
        <v>0</v>
      </c>
      <c r="Q95" s="12">
        <v>0</v>
      </c>
      <c r="R95" s="12">
        <v>0</v>
      </c>
      <c r="S95" s="12"/>
      <c r="T95" s="12"/>
      <c r="U95" s="12">
        <v>387848757985</v>
      </c>
      <c r="V95" s="12">
        <v>559930865492</v>
      </c>
      <c r="W95" s="10"/>
      <c r="X95" s="13"/>
      <c r="Y95" s="10"/>
      <c r="Z95" s="13"/>
      <c r="AA95" s="13"/>
    </row>
    <row r="96" spans="1:27" x14ac:dyDescent="0.25">
      <c r="A96" s="10" t="s">
        <v>383</v>
      </c>
      <c r="B96" s="10"/>
      <c r="C96" s="10"/>
      <c r="D96" s="10" t="s">
        <v>389</v>
      </c>
      <c r="E96" s="10" t="s">
        <v>25</v>
      </c>
      <c r="F96" s="11">
        <v>40877</v>
      </c>
      <c r="G96" s="11">
        <v>44742</v>
      </c>
      <c r="H96" s="10" t="s">
        <v>20</v>
      </c>
      <c r="I96" s="10" t="s">
        <v>36</v>
      </c>
      <c r="J96" s="12">
        <v>57111560841</v>
      </c>
      <c r="K96" s="12">
        <v>743706624600</v>
      </c>
      <c r="L96" s="12">
        <v>0</v>
      </c>
      <c r="M96" s="12"/>
      <c r="N96" s="12">
        <v>561121256695</v>
      </c>
      <c r="O96" s="12">
        <v>561121256695</v>
      </c>
      <c r="P96" s="12">
        <v>0</v>
      </c>
      <c r="Q96" s="12">
        <v>0</v>
      </c>
      <c r="R96" s="12">
        <v>0</v>
      </c>
      <c r="S96" s="12"/>
      <c r="T96" s="12"/>
      <c r="U96" s="12">
        <v>1361939442136</v>
      </c>
      <c r="V96" s="12">
        <v>2163369253036</v>
      </c>
      <c r="W96" s="10"/>
      <c r="X96" s="13"/>
      <c r="Y96" s="10"/>
      <c r="Z96" s="13"/>
      <c r="AA96" s="13"/>
    </row>
    <row r="97" spans="1:27" x14ac:dyDescent="0.25">
      <c r="A97" s="10" t="s">
        <v>383</v>
      </c>
      <c r="B97" s="10"/>
      <c r="C97" s="10"/>
      <c r="D97" s="10" t="s">
        <v>390</v>
      </c>
      <c r="E97" s="10" t="s">
        <v>19</v>
      </c>
      <c r="F97" s="11">
        <v>42923</v>
      </c>
      <c r="G97" s="11">
        <v>45107</v>
      </c>
      <c r="H97" s="10" t="s">
        <v>20</v>
      </c>
      <c r="I97" s="10" t="s">
        <v>36</v>
      </c>
      <c r="J97" s="12">
        <v>177154722664</v>
      </c>
      <c r="K97" s="12">
        <v>22030000000</v>
      </c>
      <c r="L97" s="12">
        <v>22076166640</v>
      </c>
      <c r="M97" s="12"/>
      <c r="N97" s="12">
        <v>18600000000</v>
      </c>
      <c r="O97" s="12">
        <v>40676166640</v>
      </c>
      <c r="P97" s="12">
        <v>27900000000</v>
      </c>
      <c r="Q97" s="12">
        <v>0</v>
      </c>
      <c r="R97" s="12">
        <v>0</v>
      </c>
      <c r="S97" s="12"/>
      <c r="T97" s="12"/>
      <c r="U97" s="12">
        <v>267760889304</v>
      </c>
      <c r="V97" s="12">
        <v>221491112453</v>
      </c>
      <c r="W97" s="10" t="s">
        <v>391</v>
      </c>
      <c r="X97" s="13"/>
      <c r="Y97" s="10"/>
      <c r="Z97" s="13"/>
      <c r="AA97" s="13"/>
    </row>
    <row r="98" spans="1:27" x14ac:dyDescent="0.25">
      <c r="A98" s="10" t="s">
        <v>383</v>
      </c>
      <c r="B98" s="10"/>
      <c r="C98" s="10"/>
      <c r="D98" s="10" t="s">
        <v>392</v>
      </c>
      <c r="E98" s="10" t="s">
        <v>19</v>
      </c>
      <c r="F98" s="11">
        <v>41729</v>
      </c>
      <c r="G98" s="11">
        <v>44651</v>
      </c>
      <c r="H98" s="10" t="s">
        <v>35</v>
      </c>
      <c r="I98" s="10" t="s">
        <v>36</v>
      </c>
      <c r="J98" s="12">
        <v>147804336769</v>
      </c>
      <c r="K98" s="12">
        <v>32100000000</v>
      </c>
      <c r="L98" s="12">
        <v>10849579420</v>
      </c>
      <c r="M98" s="12"/>
      <c r="N98" s="12">
        <v>43624153909</v>
      </c>
      <c r="O98" s="12">
        <v>54473733329</v>
      </c>
      <c r="P98" s="12">
        <v>0</v>
      </c>
      <c r="Q98" s="12">
        <v>0</v>
      </c>
      <c r="R98" s="12">
        <v>0</v>
      </c>
      <c r="S98" s="12"/>
      <c r="T98" s="12"/>
      <c r="U98" s="12">
        <v>234378070098</v>
      </c>
      <c r="V98" s="12">
        <v>553497626990</v>
      </c>
      <c r="W98" s="10"/>
      <c r="X98" s="13"/>
      <c r="Y98" s="10"/>
      <c r="Z98" s="13"/>
      <c r="AA98" s="13"/>
    </row>
    <row r="99" spans="1:27" x14ac:dyDescent="0.25">
      <c r="A99" s="10" t="s">
        <v>383</v>
      </c>
      <c r="B99" s="10"/>
      <c r="C99" s="10"/>
      <c r="D99" s="10" t="s">
        <v>393</v>
      </c>
      <c r="E99" s="10" t="s">
        <v>19</v>
      </c>
      <c r="F99" s="11">
        <v>41729</v>
      </c>
      <c r="G99" s="11"/>
      <c r="H99" s="10" t="s">
        <v>20</v>
      </c>
      <c r="I99" s="10" t="s">
        <v>36</v>
      </c>
      <c r="J99" s="12">
        <v>394008681818</v>
      </c>
      <c r="K99" s="12">
        <v>24170000000</v>
      </c>
      <c r="L99" s="12">
        <v>41501567440</v>
      </c>
      <c r="M99" s="12"/>
      <c r="N99" s="12">
        <v>2432000000</v>
      </c>
      <c r="O99" s="12">
        <v>43933567440</v>
      </c>
      <c r="P99" s="12">
        <v>0</v>
      </c>
      <c r="Q99" s="12">
        <v>0</v>
      </c>
      <c r="R99" s="12">
        <v>0</v>
      </c>
      <c r="S99" s="12"/>
      <c r="T99" s="12"/>
      <c r="U99" s="12">
        <v>462112249258</v>
      </c>
      <c r="V99" s="12">
        <v>496772591592</v>
      </c>
      <c r="W99" s="10"/>
      <c r="X99" s="13"/>
      <c r="Y99" s="10"/>
      <c r="Z99" s="13"/>
      <c r="AA99" s="13"/>
    </row>
    <row r="100" spans="1:27" x14ac:dyDescent="0.25">
      <c r="A100" s="10" t="s">
        <v>383</v>
      </c>
      <c r="B100" s="10"/>
      <c r="C100" s="10"/>
      <c r="D100" s="10" t="s">
        <v>394</v>
      </c>
      <c r="E100" s="10" t="s">
        <v>19</v>
      </c>
      <c r="F100" s="11">
        <v>41729</v>
      </c>
      <c r="G100" s="11">
        <v>45107</v>
      </c>
      <c r="H100" s="10" t="s">
        <v>20</v>
      </c>
      <c r="I100" s="10" t="s">
        <v>36</v>
      </c>
      <c r="J100" s="12">
        <v>273680654381</v>
      </c>
      <c r="K100" s="12">
        <v>55020000000</v>
      </c>
      <c r="L100" s="12">
        <v>50238770926</v>
      </c>
      <c r="M100" s="12"/>
      <c r="N100" s="12">
        <v>33884400000</v>
      </c>
      <c r="O100" s="12">
        <v>84123170926</v>
      </c>
      <c r="P100" s="12">
        <v>756000000</v>
      </c>
      <c r="Q100" s="12">
        <v>0</v>
      </c>
      <c r="R100" s="12">
        <v>0</v>
      </c>
      <c r="S100" s="12"/>
      <c r="T100" s="12"/>
      <c r="U100" s="12">
        <v>413579825307</v>
      </c>
      <c r="V100" s="12">
        <v>278470272988</v>
      </c>
      <c r="W100" s="10"/>
      <c r="X100" s="13"/>
      <c r="Y100" s="10"/>
      <c r="Z100" s="13"/>
      <c r="AA100" s="13"/>
    </row>
    <row r="101" spans="1:27" x14ac:dyDescent="0.25">
      <c r="A101" s="10" t="s">
        <v>383</v>
      </c>
      <c r="B101" s="10"/>
      <c r="C101" s="10"/>
      <c r="D101" s="10" t="s">
        <v>394</v>
      </c>
      <c r="E101" s="10" t="s">
        <v>25</v>
      </c>
      <c r="F101" s="11">
        <v>41729</v>
      </c>
      <c r="G101" s="11">
        <v>45107</v>
      </c>
      <c r="H101" s="10" t="s">
        <v>20</v>
      </c>
      <c r="I101" s="10" t="s">
        <v>36</v>
      </c>
      <c r="J101" s="12">
        <v>141260169293</v>
      </c>
      <c r="K101" s="12">
        <v>0</v>
      </c>
      <c r="L101" s="12">
        <v>0</v>
      </c>
      <c r="M101" s="12"/>
      <c r="N101" s="12">
        <v>0</v>
      </c>
      <c r="O101" s="12">
        <v>0</v>
      </c>
      <c r="P101" s="12">
        <v>0</v>
      </c>
      <c r="Q101" s="12">
        <v>0</v>
      </c>
      <c r="R101" s="12">
        <v>0</v>
      </c>
      <c r="S101" s="12"/>
      <c r="T101" s="12"/>
      <c r="U101" s="12">
        <v>141260169293</v>
      </c>
      <c r="V101" s="12">
        <v>163472863985</v>
      </c>
      <c r="W101" s="10"/>
      <c r="X101" s="13"/>
      <c r="Y101" s="10"/>
      <c r="Z101" s="13"/>
      <c r="AA101" s="13"/>
    </row>
    <row r="102" spans="1:27" x14ac:dyDescent="0.25">
      <c r="A102" s="10" t="s">
        <v>383</v>
      </c>
      <c r="B102" s="10"/>
      <c r="C102" s="10"/>
      <c r="D102" s="10" t="s">
        <v>395</v>
      </c>
      <c r="E102" s="10" t="s">
        <v>19</v>
      </c>
      <c r="F102" s="11">
        <v>41671</v>
      </c>
      <c r="G102" s="11">
        <v>45473</v>
      </c>
      <c r="H102" s="10" t="s">
        <v>20</v>
      </c>
      <c r="I102" s="10" t="s">
        <v>36</v>
      </c>
      <c r="J102" s="12">
        <v>0</v>
      </c>
      <c r="K102" s="12">
        <v>23050000000</v>
      </c>
      <c r="L102" s="12">
        <v>0</v>
      </c>
      <c r="M102" s="12"/>
      <c r="N102" s="12">
        <v>86666666666</v>
      </c>
      <c r="O102" s="12">
        <v>86666666666</v>
      </c>
      <c r="P102" s="12">
        <v>70000000000</v>
      </c>
      <c r="Q102" s="12">
        <v>70000000000</v>
      </c>
      <c r="R102" s="12">
        <v>0</v>
      </c>
      <c r="S102" s="12"/>
      <c r="T102" s="12"/>
      <c r="U102" s="12">
        <v>249716666666</v>
      </c>
      <c r="V102" s="12"/>
      <c r="W102" s="10"/>
      <c r="X102" s="13"/>
      <c r="Y102" s="10"/>
      <c r="Z102" s="13"/>
      <c r="AA102" s="13"/>
    </row>
    <row r="103" spans="1:27" x14ac:dyDescent="0.25">
      <c r="A103" s="10" t="s">
        <v>383</v>
      </c>
      <c r="B103" s="10"/>
      <c r="C103" s="10"/>
      <c r="D103" s="10" t="s">
        <v>396</v>
      </c>
      <c r="E103" s="10" t="s">
        <v>19</v>
      </c>
      <c r="F103" s="11">
        <v>41672</v>
      </c>
      <c r="G103" s="11">
        <v>45474</v>
      </c>
      <c r="H103" s="10" t="s">
        <v>20</v>
      </c>
      <c r="I103" s="10" t="s">
        <v>36</v>
      </c>
      <c r="J103" s="12">
        <v>0</v>
      </c>
      <c r="K103" s="12">
        <v>23050000000</v>
      </c>
      <c r="L103" s="12">
        <v>0</v>
      </c>
      <c r="M103" s="12"/>
      <c r="N103" s="12">
        <v>95000000000</v>
      </c>
      <c r="O103" s="12">
        <v>95000000000</v>
      </c>
      <c r="P103" s="12">
        <v>90000000000</v>
      </c>
      <c r="Q103" s="12">
        <v>0</v>
      </c>
      <c r="R103" s="12">
        <v>0</v>
      </c>
      <c r="S103" s="12"/>
      <c r="T103" s="12"/>
      <c r="U103" s="12">
        <v>208050000000</v>
      </c>
      <c r="V103" s="12"/>
      <c r="W103" s="10"/>
      <c r="X103" s="13"/>
      <c r="Y103" s="10"/>
      <c r="Z103" s="13"/>
      <c r="AA103" s="13"/>
    </row>
    <row r="104" spans="1:27" x14ac:dyDescent="0.25">
      <c r="A104" s="10" t="s">
        <v>383</v>
      </c>
      <c r="B104" s="10"/>
      <c r="C104" s="10"/>
      <c r="D104" s="10" t="s">
        <v>397</v>
      </c>
      <c r="E104" s="10" t="s">
        <v>19</v>
      </c>
      <c r="F104" s="11">
        <v>41729</v>
      </c>
      <c r="G104" s="11">
        <v>44923</v>
      </c>
      <c r="H104" s="10" t="s">
        <v>20</v>
      </c>
      <c r="I104" s="10" t="s">
        <v>36</v>
      </c>
      <c r="J104" s="12">
        <v>97293886975</v>
      </c>
      <c r="K104" s="12">
        <v>41100000000</v>
      </c>
      <c r="L104" s="12">
        <v>0</v>
      </c>
      <c r="M104" s="12"/>
      <c r="N104" s="12">
        <v>15681624615</v>
      </c>
      <c r="O104" s="12">
        <v>15681624615</v>
      </c>
      <c r="P104" s="12">
        <v>0</v>
      </c>
      <c r="Q104" s="12">
        <v>0</v>
      </c>
      <c r="R104" s="12">
        <v>0</v>
      </c>
      <c r="S104" s="12"/>
      <c r="T104" s="12"/>
      <c r="U104" s="12">
        <v>154075511590</v>
      </c>
      <c r="V104" s="12">
        <v>153492543139</v>
      </c>
      <c r="W104" s="10"/>
      <c r="X104" s="13"/>
      <c r="Y104" s="10"/>
      <c r="Z104" s="13"/>
      <c r="AA104" s="13"/>
    </row>
    <row r="105" spans="1:27" x14ac:dyDescent="0.25">
      <c r="A105" s="10" t="s">
        <v>383</v>
      </c>
      <c r="B105" s="10"/>
      <c r="C105" s="10"/>
      <c r="D105" s="10" t="s">
        <v>397</v>
      </c>
      <c r="E105" s="10" t="s">
        <v>25</v>
      </c>
      <c r="F105" s="11">
        <v>41729</v>
      </c>
      <c r="G105" s="11">
        <v>44923</v>
      </c>
      <c r="H105" s="10" t="s">
        <v>20</v>
      </c>
      <c r="I105" s="10" t="s">
        <v>36</v>
      </c>
      <c r="J105" s="12">
        <v>182604126716</v>
      </c>
      <c r="K105" s="12">
        <v>115141500000</v>
      </c>
      <c r="L105" s="12">
        <v>0</v>
      </c>
      <c r="M105" s="12"/>
      <c r="N105" s="12">
        <v>43932000000</v>
      </c>
      <c r="O105" s="12">
        <v>43932000000</v>
      </c>
      <c r="P105" s="12">
        <v>0</v>
      </c>
      <c r="Q105" s="12">
        <v>0</v>
      </c>
      <c r="R105" s="12">
        <v>0</v>
      </c>
      <c r="S105" s="12"/>
      <c r="T105" s="12"/>
      <c r="U105" s="12">
        <v>341677626716</v>
      </c>
      <c r="V105" s="12">
        <v>326145358150</v>
      </c>
      <c r="W105" s="10"/>
      <c r="X105" s="13"/>
      <c r="Y105" s="10"/>
      <c r="Z105" s="13"/>
      <c r="AA105" s="13"/>
    </row>
    <row r="106" spans="1:27" x14ac:dyDescent="0.25">
      <c r="A106" s="10" t="s">
        <v>383</v>
      </c>
      <c r="B106" s="10"/>
      <c r="C106" s="10"/>
      <c r="D106" s="10" t="s">
        <v>353</v>
      </c>
      <c r="E106" s="10" t="s">
        <v>19</v>
      </c>
      <c r="F106" s="11">
        <v>41821</v>
      </c>
      <c r="G106" s="11">
        <v>44742</v>
      </c>
      <c r="H106" s="10" t="s">
        <v>20</v>
      </c>
      <c r="I106" s="10" t="s">
        <v>36</v>
      </c>
      <c r="J106" s="12">
        <v>62728701955</v>
      </c>
      <c r="K106" s="12">
        <v>0</v>
      </c>
      <c r="L106" s="12">
        <v>0</v>
      </c>
      <c r="M106" s="12"/>
      <c r="N106" s="12"/>
      <c r="O106" s="12">
        <v>0</v>
      </c>
      <c r="P106" s="12">
        <v>0</v>
      </c>
      <c r="Q106" s="12">
        <v>0</v>
      </c>
      <c r="R106" s="12">
        <v>0</v>
      </c>
      <c r="S106" s="12"/>
      <c r="T106" s="12"/>
      <c r="U106" s="12">
        <v>62728701955</v>
      </c>
      <c r="V106" s="12">
        <v>8885988329</v>
      </c>
      <c r="W106" s="10"/>
      <c r="X106" s="13"/>
      <c r="Y106" s="10"/>
      <c r="Z106" s="13"/>
      <c r="AA106" s="13"/>
    </row>
    <row r="107" spans="1:27" x14ac:dyDescent="0.25">
      <c r="A107" s="10" t="s">
        <v>383</v>
      </c>
      <c r="B107" s="10"/>
      <c r="C107" s="10"/>
      <c r="D107" s="10" t="s">
        <v>353</v>
      </c>
      <c r="E107" s="10" t="s">
        <v>25</v>
      </c>
      <c r="F107" s="11">
        <v>41821</v>
      </c>
      <c r="G107" s="11">
        <v>44742</v>
      </c>
      <c r="H107" s="10" t="s">
        <v>20</v>
      </c>
      <c r="I107" s="10" t="s">
        <v>36</v>
      </c>
      <c r="J107" s="12">
        <v>79873604750</v>
      </c>
      <c r="K107" s="12">
        <v>58952448000</v>
      </c>
      <c r="L107" s="12">
        <v>0</v>
      </c>
      <c r="M107" s="12"/>
      <c r="N107" s="12"/>
      <c r="O107" s="12">
        <v>0</v>
      </c>
      <c r="P107" s="12">
        <v>0</v>
      </c>
      <c r="Q107" s="12">
        <v>0</v>
      </c>
      <c r="R107" s="12">
        <v>0</v>
      </c>
      <c r="S107" s="12"/>
      <c r="T107" s="12"/>
      <c r="U107" s="12">
        <v>138826052750</v>
      </c>
      <c r="V107" s="12">
        <v>213263719902</v>
      </c>
      <c r="W107" s="10"/>
      <c r="X107" s="13"/>
      <c r="Y107" s="10"/>
      <c r="Z107" s="13"/>
      <c r="AA107" s="13"/>
    </row>
    <row r="108" spans="1:27" x14ac:dyDescent="0.25">
      <c r="A108" s="10" t="s">
        <v>383</v>
      </c>
      <c r="B108" s="10"/>
      <c r="C108" s="10"/>
      <c r="D108" s="10" t="s">
        <v>398</v>
      </c>
      <c r="E108" s="10" t="s">
        <v>19</v>
      </c>
      <c r="F108" s="11">
        <v>41821</v>
      </c>
      <c r="G108" s="11">
        <v>44742</v>
      </c>
      <c r="H108" s="10" t="s">
        <v>20</v>
      </c>
      <c r="I108" s="10" t="s">
        <v>36</v>
      </c>
      <c r="J108" s="12">
        <v>2595543775</v>
      </c>
      <c r="K108" s="12">
        <v>6385000000</v>
      </c>
      <c r="L108" s="12">
        <v>0</v>
      </c>
      <c r="M108" s="12"/>
      <c r="N108" s="12">
        <v>7760000000</v>
      </c>
      <c r="O108" s="12">
        <v>7760000000</v>
      </c>
      <c r="P108" s="12"/>
      <c r="Q108" s="12">
        <v>0</v>
      </c>
      <c r="R108" s="12">
        <v>0</v>
      </c>
      <c r="S108" s="12"/>
      <c r="T108" s="12"/>
      <c r="U108" s="12">
        <v>16740543775</v>
      </c>
      <c r="V108" s="12">
        <v>48743188197</v>
      </c>
      <c r="W108" s="10"/>
      <c r="X108" s="13"/>
      <c r="Y108" s="10"/>
      <c r="Z108" s="13"/>
      <c r="AA108" s="13"/>
    </row>
    <row r="109" spans="1:27" x14ac:dyDescent="0.25">
      <c r="A109" s="10" t="s">
        <v>383</v>
      </c>
      <c r="B109" s="10"/>
      <c r="C109" s="10"/>
      <c r="D109" s="10" t="s">
        <v>398</v>
      </c>
      <c r="E109" s="10" t="s">
        <v>25</v>
      </c>
      <c r="F109" s="11">
        <v>41821</v>
      </c>
      <c r="G109" s="11">
        <v>44742</v>
      </c>
      <c r="H109" s="10"/>
      <c r="I109" s="10" t="s">
        <v>36</v>
      </c>
      <c r="J109" s="12">
        <v>55973530506</v>
      </c>
      <c r="K109" s="12">
        <v>45469378350</v>
      </c>
      <c r="L109" s="12">
        <v>0</v>
      </c>
      <c r="M109" s="12"/>
      <c r="N109" s="12">
        <v>51750000000</v>
      </c>
      <c r="O109" s="12">
        <v>51750000000</v>
      </c>
      <c r="P109" s="12"/>
      <c r="Q109" s="12"/>
      <c r="R109" s="12"/>
      <c r="S109" s="12"/>
      <c r="T109" s="12"/>
      <c r="U109" s="12">
        <v>153192908856</v>
      </c>
      <c r="V109" s="12">
        <v>177010000000</v>
      </c>
      <c r="W109" s="10"/>
      <c r="X109" s="13"/>
      <c r="Y109" s="10"/>
      <c r="Z109" s="13"/>
      <c r="AA109" s="13"/>
    </row>
    <row r="110" spans="1:27" x14ac:dyDescent="0.25">
      <c r="A110" s="10" t="s">
        <v>383</v>
      </c>
      <c r="B110" s="10"/>
      <c r="C110" s="10"/>
      <c r="D110" s="10" t="s">
        <v>399</v>
      </c>
      <c r="E110" s="10" t="s">
        <v>19</v>
      </c>
      <c r="F110" s="11">
        <v>41821</v>
      </c>
      <c r="G110" s="11">
        <v>44742</v>
      </c>
      <c r="H110" s="10"/>
      <c r="I110" s="10" t="s">
        <v>36</v>
      </c>
      <c r="J110" s="12">
        <v>17140483353</v>
      </c>
      <c r="K110" s="12">
        <v>1800000000</v>
      </c>
      <c r="L110" s="12">
        <v>0</v>
      </c>
      <c r="M110" s="12"/>
      <c r="N110" s="12"/>
      <c r="O110" s="12">
        <v>0</v>
      </c>
      <c r="P110" s="12"/>
      <c r="Q110" s="12"/>
      <c r="R110" s="12"/>
      <c r="S110" s="12"/>
      <c r="T110" s="12"/>
      <c r="U110" s="12">
        <v>18940483353</v>
      </c>
      <c r="V110" s="12">
        <v>26957278027</v>
      </c>
      <c r="W110" s="10"/>
      <c r="X110" s="13"/>
      <c r="Y110" s="10"/>
      <c r="Z110" s="13"/>
      <c r="AA110" s="13"/>
    </row>
    <row r="111" spans="1:27" x14ac:dyDescent="0.25">
      <c r="A111" s="10" t="s">
        <v>383</v>
      </c>
      <c r="B111" s="10"/>
      <c r="C111" s="10"/>
      <c r="D111" s="10" t="s">
        <v>399</v>
      </c>
      <c r="E111" s="10" t="s">
        <v>25</v>
      </c>
      <c r="F111" s="11">
        <v>41821</v>
      </c>
      <c r="G111" s="11">
        <v>44377</v>
      </c>
      <c r="H111" s="10" t="s">
        <v>20</v>
      </c>
      <c r="I111" s="10" t="s">
        <v>36</v>
      </c>
      <c r="J111" s="12">
        <v>108065394088</v>
      </c>
      <c r="K111" s="12">
        <v>5350241700</v>
      </c>
      <c r="L111" s="12">
        <v>0</v>
      </c>
      <c r="M111" s="12"/>
      <c r="N111" s="12"/>
      <c r="O111" s="12">
        <v>0</v>
      </c>
      <c r="P111" s="12">
        <v>0</v>
      </c>
      <c r="Q111" s="12">
        <v>0</v>
      </c>
      <c r="R111" s="12">
        <v>0</v>
      </c>
      <c r="S111" s="12"/>
      <c r="T111" s="12"/>
      <c r="U111" s="12">
        <v>113415635788</v>
      </c>
      <c r="V111" s="12">
        <v>136830000000</v>
      </c>
      <c r="W111" s="10"/>
      <c r="X111" s="13"/>
      <c r="Y111" s="10"/>
      <c r="Z111" s="13"/>
      <c r="AA111" s="13"/>
    </row>
    <row r="112" spans="1:27" x14ac:dyDescent="0.25">
      <c r="A112" s="10" t="s">
        <v>383</v>
      </c>
      <c r="B112" s="10"/>
      <c r="C112" s="10"/>
      <c r="D112" s="10" t="s">
        <v>400</v>
      </c>
      <c r="E112" s="10" t="s">
        <v>19</v>
      </c>
      <c r="F112" s="11">
        <v>41821</v>
      </c>
      <c r="G112" s="11">
        <v>45473</v>
      </c>
      <c r="H112" s="10" t="s">
        <v>20</v>
      </c>
      <c r="I112" s="10" t="s">
        <v>36</v>
      </c>
      <c r="J112" s="12">
        <v>132684902</v>
      </c>
      <c r="K112" s="12">
        <v>3273400000</v>
      </c>
      <c r="L112" s="12">
        <v>0</v>
      </c>
      <c r="M112" s="12"/>
      <c r="N112" s="12">
        <v>0</v>
      </c>
      <c r="O112" s="12">
        <v>0</v>
      </c>
      <c r="P112" s="12">
        <v>0</v>
      </c>
      <c r="Q112" s="12">
        <v>0</v>
      </c>
      <c r="R112" s="12">
        <v>0</v>
      </c>
      <c r="S112" s="12"/>
      <c r="T112" s="12"/>
      <c r="U112" s="12">
        <v>3406084902</v>
      </c>
      <c r="V112" s="12">
        <v>26437245869</v>
      </c>
      <c r="W112" s="10"/>
      <c r="X112" s="13"/>
      <c r="Y112" s="10"/>
      <c r="Z112" s="13"/>
      <c r="AA112" s="13"/>
    </row>
    <row r="113" spans="1:27" x14ac:dyDescent="0.25">
      <c r="A113" s="10" t="s">
        <v>383</v>
      </c>
      <c r="B113" s="10"/>
      <c r="C113" s="10"/>
      <c r="D113" s="10" t="s">
        <v>400</v>
      </c>
      <c r="E113" s="10" t="s">
        <v>25</v>
      </c>
      <c r="F113" s="11">
        <v>41821</v>
      </c>
      <c r="G113" s="11">
        <v>45473</v>
      </c>
      <c r="H113" s="10" t="s">
        <v>20</v>
      </c>
      <c r="I113" s="10" t="s">
        <v>36</v>
      </c>
      <c r="J113" s="12">
        <v>47763964674</v>
      </c>
      <c r="K113" s="12">
        <v>74055174750</v>
      </c>
      <c r="L113" s="12">
        <v>0</v>
      </c>
      <c r="M113" s="12"/>
      <c r="N113" s="12">
        <v>165280000000</v>
      </c>
      <c r="O113" s="12">
        <v>165280000000</v>
      </c>
      <c r="P113" s="12">
        <v>162560000000</v>
      </c>
      <c r="Q113" s="12">
        <v>92850000000</v>
      </c>
      <c r="R113" s="12">
        <v>0</v>
      </c>
      <c r="S113" s="12"/>
      <c r="T113" s="12"/>
      <c r="U113" s="12">
        <v>542509139424</v>
      </c>
      <c r="V113" s="12">
        <v>634493900859</v>
      </c>
      <c r="W113" s="10"/>
      <c r="X113" s="13"/>
      <c r="Y113" s="10"/>
      <c r="Z113" s="13"/>
      <c r="AA113" s="13"/>
    </row>
    <row r="114" spans="1:27" x14ac:dyDescent="0.25">
      <c r="A114" s="10" t="s">
        <v>383</v>
      </c>
      <c r="B114" s="10"/>
      <c r="C114" s="10"/>
      <c r="D114" s="10" t="s">
        <v>401</v>
      </c>
      <c r="E114" s="10" t="s">
        <v>19</v>
      </c>
      <c r="F114" s="11">
        <v>42186</v>
      </c>
      <c r="G114" s="11">
        <v>45656</v>
      </c>
      <c r="H114" s="10" t="s">
        <v>20</v>
      </c>
      <c r="I114" s="10" t="s">
        <v>36</v>
      </c>
      <c r="J114" s="12">
        <v>11415168262</v>
      </c>
      <c r="K114" s="12">
        <v>4372589000</v>
      </c>
      <c r="L114" s="12">
        <v>4259223380</v>
      </c>
      <c r="M114" s="12"/>
      <c r="N114" s="12">
        <v>57030000000</v>
      </c>
      <c r="O114" s="12">
        <v>61289223380</v>
      </c>
      <c r="P114" s="12">
        <v>57030000000</v>
      </c>
      <c r="Q114" s="12">
        <v>5703000000</v>
      </c>
      <c r="R114" s="12">
        <v>0</v>
      </c>
      <c r="S114" s="12"/>
      <c r="T114" s="12"/>
      <c r="U114" s="12">
        <v>139809980642</v>
      </c>
      <c r="V114" s="12"/>
      <c r="W114" s="10"/>
      <c r="X114" s="13"/>
      <c r="Y114" s="10"/>
      <c r="Z114" s="13"/>
      <c r="AA114" s="13"/>
    </row>
    <row r="115" spans="1:27" x14ac:dyDescent="0.25">
      <c r="A115" s="10" t="s">
        <v>383</v>
      </c>
      <c r="B115" s="10"/>
      <c r="C115" s="10"/>
      <c r="D115" s="10" t="s">
        <v>401</v>
      </c>
      <c r="E115" s="10" t="s">
        <v>25</v>
      </c>
      <c r="F115" s="11">
        <v>42186</v>
      </c>
      <c r="G115" s="11">
        <v>45656</v>
      </c>
      <c r="H115" s="10" t="s">
        <v>20</v>
      </c>
      <c r="I115" s="10" t="s">
        <v>36</v>
      </c>
      <c r="J115" s="12">
        <v>67367325601</v>
      </c>
      <c r="K115" s="12">
        <v>54308407500</v>
      </c>
      <c r="L115" s="12">
        <v>0</v>
      </c>
      <c r="M115" s="12"/>
      <c r="N115" s="12">
        <v>187100000000</v>
      </c>
      <c r="O115" s="12">
        <v>187100000000</v>
      </c>
      <c r="P115" s="12">
        <v>337120000000</v>
      </c>
      <c r="Q115" s="12">
        <v>399600000000</v>
      </c>
      <c r="R115" s="12">
        <v>0</v>
      </c>
      <c r="S115" s="12"/>
      <c r="T115" s="12"/>
      <c r="U115" s="12">
        <v>1045495733101</v>
      </c>
      <c r="V115" s="12"/>
      <c r="W115" s="10"/>
      <c r="X115" s="13"/>
      <c r="Y115" s="10"/>
      <c r="Z115" s="13"/>
      <c r="AA115" s="13"/>
    </row>
    <row r="116" spans="1:27" x14ac:dyDescent="0.25">
      <c r="A116" s="10" t="s">
        <v>383</v>
      </c>
      <c r="B116" s="10"/>
      <c r="C116" s="10"/>
      <c r="D116" s="10" t="s">
        <v>402</v>
      </c>
      <c r="E116" s="10" t="s">
        <v>19</v>
      </c>
      <c r="F116" s="11">
        <v>42186</v>
      </c>
      <c r="G116" s="11">
        <v>45107</v>
      </c>
      <c r="H116" s="10" t="s">
        <v>20</v>
      </c>
      <c r="I116" s="10" t="s">
        <v>36</v>
      </c>
      <c r="J116" s="12">
        <v>176601291038</v>
      </c>
      <c r="K116" s="12">
        <v>56850000000</v>
      </c>
      <c r="L116" s="12">
        <v>29626560801</v>
      </c>
      <c r="M116" s="12"/>
      <c r="N116" s="12">
        <v>173935000000</v>
      </c>
      <c r="O116" s="12">
        <v>203561560801</v>
      </c>
      <c r="P116" s="12">
        <v>124545050000</v>
      </c>
      <c r="Q116" s="12"/>
      <c r="R116" s="12"/>
      <c r="S116" s="12"/>
      <c r="T116" s="12"/>
      <c r="U116" s="12">
        <v>561557901839</v>
      </c>
      <c r="V116" s="12">
        <v>316459278948</v>
      </c>
      <c r="W116" s="10"/>
      <c r="X116" s="13"/>
      <c r="Y116" s="10"/>
      <c r="Z116" s="13"/>
      <c r="AA116" s="13"/>
    </row>
    <row r="117" spans="1:27" x14ac:dyDescent="0.25">
      <c r="A117" s="10" t="s">
        <v>383</v>
      </c>
      <c r="B117" s="10"/>
      <c r="C117" s="10"/>
      <c r="D117" s="10" t="s">
        <v>403</v>
      </c>
      <c r="E117" s="10" t="s">
        <v>19</v>
      </c>
      <c r="F117" s="11">
        <v>42186</v>
      </c>
      <c r="G117" s="11">
        <v>45473</v>
      </c>
      <c r="H117" s="10" t="s">
        <v>20</v>
      </c>
      <c r="I117" s="10" t="s">
        <v>36</v>
      </c>
      <c r="J117" s="12">
        <v>0</v>
      </c>
      <c r="K117" s="12">
        <v>200000000</v>
      </c>
      <c r="L117" s="12">
        <v>0</v>
      </c>
      <c r="M117" s="12"/>
      <c r="N117" s="12">
        <v>100000000</v>
      </c>
      <c r="O117" s="12">
        <v>100000000</v>
      </c>
      <c r="P117" s="12">
        <v>20000000</v>
      </c>
      <c r="Q117" s="12"/>
      <c r="R117" s="12">
        <v>0</v>
      </c>
      <c r="S117" s="12"/>
      <c r="T117" s="12"/>
      <c r="U117" s="12">
        <v>320000000</v>
      </c>
      <c r="V117" s="12">
        <v>0</v>
      </c>
      <c r="W117" s="10"/>
      <c r="X117" s="13"/>
      <c r="Y117" s="10"/>
      <c r="Z117" s="13"/>
      <c r="AA117" s="13"/>
    </row>
    <row r="118" spans="1:27" x14ac:dyDescent="0.25">
      <c r="A118" s="10" t="s">
        <v>383</v>
      </c>
      <c r="B118" s="10"/>
      <c r="C118" s="10"/>
      <c r="D118" s="10" t="s">
        <v>403</v>
      </c>
      <c r="E118" s="10" t="s">
        <v>25</v>
      </c>
      <c r="F118" s="11">
        <v>42186</v>
      </c>
      <c r="G118" s="11">
        <v>45473</v>
      </c>
      <c r="H118" s="10" t="s">
        <v>20</v>
      </c>
      <c r="I118" s="10" t="s">
        <v>36</v>
      </c>
      <c r="J118" s="12">
        <v>60031101329</v>
      </c>
      <c r="K118" s="12">
        <v>84820905000</v>
      </c>
      <c r="L118" s="12">
        <v>0</v>
      </c>
      <c r="M118" s="12"/>
      <c r="N118" s="12">
        <v>90000000000</v>
      </c>
      <c r="O118" s="12">
        <v>90000000000</v>
      </c>
      <c r="P118" s="12">
        <v>45000000000</v>
      </c>
      <c r="Q118" s="12">
        <v>0</v>
      </c>
      <c r="R118" s="12">
        <v>0</v>
      </c>
      <c r="S118" s="12"/>
      <c r="T118" s="12"/>
      <c r="U118" s="12">
        <v>279852006329</v>
      </c>
      <c r="V118" s="12">
        <v>411992962010</v>
      </c>
      <c r="W118" s="10"/>
      <c r="X118" s="13"/>
      <c r="Y118" s="10"/>
      <c r="Z118" s="13"/>
      <c r="AA118" s="13"/>
    </row>
    <row r="119" spans="1:27" x14ac:dyDescent="0.25">
      <c r="A119" s="10" t="s">
        <v>383</v>
      </c>
      <c r="B119" s="10"/>
      <c r="C119" s="10"/>
      <c r="D119" s="10" t="s">
        <v>404</v>
      </c>
      <c r="E119" s="10" t="s">
        <v>19</v>
      </c>
      <c r="F119" s="11">
        <v>42552</v>
      </c>
      <c r="G119" s="11">
        <v>46021</v>
      </c>
      <c r="H119" s="10" t="s">
        <v>20</v>
      </c>
      <c r="I119" s="10" t="s">
        <v>36</v>
      </c>
      <c r="J119" s="12">
        <v>0</v>
      </c>
      <c r="K119" s="12">
        <v>6000000000</v>
      </c>
      <c r="L119" s="12">
        <v>0</v>
      </c>
      <c r="M119" s="12"/>
      <c r="N119" s="12">
        <v>250000000</v>
      </c>
      <c r="O119" s="12">
        <v>250000000</v>
      </c>
      <c r="P119" s="12">
        <v>0</v>
      </c>
      <c r="Q119" s="12">
        <v>0</v>
      </c>
      <c r="R119" s="12">
        <v>0</v>
      </c>
      <c r="S119" s="12"/>
      <c r="T119" s="12"/>
      <c r="U119" s="12">
        <v>6250000000</v>
      </c>
      <c r="V119" s="12"/>
      <c r="W119" s="10"/>
      <c r="X119" s="13"/>
      <c r="Y119" s="10"/>
      <c r="Z119" s="13"/>
      <c r="AA119" s="13"/>
    </row>
    <row r="120" spans="1:27" x14ac:dyDescent="0.25">
      <c r="A120" s="10" t="s">
        <v>383</v>
      </c>
      <c r="B120" s="10"/>
      <c r="C120" s="10"/>
      <c r="D120" s="10" t="s">
        <v>404</v>
      </c>
      <c r="E120" s="10" t="s">
        <v>25</v>
      </c>
      <c r="F120" s="11">
        <v>42552</v>
      </c>
      <c r="G120" s="11">
        <v>46021</v>
      </c>
      <c r="H120" s="10" t="s">
        <v>20</v>
      </c>
      <c r="I120" s="10" t="s">
        <v>36</v>
      </c>
      <c r="J120" s="12">
        <v>63934359510</v>
      </c>
      <c r="K120" s="12">
        <v>112071060000</v>
      </c>
      <c r="L120" s="12">
        <v>0</v>
      </c>
      <c r="M120" s="12"/>
      <c r="N120" s="12"/>
      <c r="O120" s="12">
        <v>0</v>
      </c>
      <c r="P120" s="12">
        <v>0</v>
      </c>
      <c r="Q120" s="12">
        <v>0</v>
      </c>
      <c r="R120" s="12">
        <v>0</v>
      </c>
      <c r="S120" s="12"/>
      <c r="T120" s="12"/>
      <c r="U120" s="12">
        <v>176005419510</v>
      </c>
      <c r="V120" s="12"/>
      <c r="W120" s="10"/>
      <c r="X120" s="13"/>
      <c r="Y120" s="10"/>
      <c r="Z120" s="13"/>
      <c r="AA120" s="13"/>
    </row>
    <row r="121" spans="1:27" x14ac:dyDescent="0.25">
      <c r="A121" s="10" t="s">
        <v>383</v>
      </c>
      <c r="B121" s="10"/>
      <c r="C121" s="10"/>
      <c r="D121" s="10" t="s">
        <v>405</v>
      </c>
      <c r="E121" s="10" t="s">
        <v>19</v>
      </c>
      <c r="F121" s="11">
        <v>42552</v>
      </c>
      <c r="G121" s="11">
        <v>45656</v>
      </c>
      <c r="H121" s="10" t="s">
        <v>20</v>
      </c>
      <c r="I121" s="10" t="s">
        <v>36</v>
      </c>
      <c r="J121" s="12">
        <v>216721106005</v>
      </c>
      <c r="K121" s="12">
        <v>44300000000</v>
      </c>
      <c r="L121" s="12">
        <v>43014777643</v>
      </c>
      <c r="M121" s="12"/>
      <c r="N121" s="12">
        <v>20000000000</v>
      </c>
      <c r="O121" s="12">
        <v>63014777643</v>
      </c>
      <c r="P121" s="12">
        <v>0</v>
      </c>
      <c r="Q121" s="12">
        <v>0</v>
      </c>
      <c r="R121" s="12">
        <v>0</v>
      </c>
      <c r="S121" s="12"/>
      <c r="T121" s="12"/>
      <c r="U121" s="12">
        <v>324035883648</v>
      </c>
      <c r="V121" s="12">
        <v>725156898061</v>
      </c>
      <c r="W121" s="10"/>
      <c r="X121" s="13"/>
      <c r="Y121" s="10"/>
      <c r="Z121" s="13"/>
      <c r="AA121" s="13"/>
    </row>
    <row r="122" spans="1:27" x14ac:dyDescent="0.25">
      <c r="A122" s="10" t="s">
        <v>383</v>
      </c>
      <c r="B122" s="10"/>
      <c r="C122" s="10"/>
      <c r="D122" s="10" t="s">
        <v>406</v>
      </c>
      <c r="E122" s="10" t="s">
        <v>19</v>
      </c>
      <c r="F122" s="11">
        <v>42552</v>
      </c>
      <c r="G122" s="11">
        <v>45290</v>
      </c>
      <c r="H122" s="10" t="s">
        <v>20</v>
      </c>
      <c r="I122" s="10" t="s">
        <v>36</v>
      </c>
      <c r="J122" s="12">
        <v>152189120</v>
      </c>
      <c r="K122" s="12">
        <v>2400162000</v>
      </c>
      <c r="L122" s="12">
        <v>0</v>
      </c>
      <c r="M122" s="12"/>
      <c r="N122" s="12">
        <v>811089750</v>
      </c>
      <c r="O122" s="12">
        <v>811089750</v>
      </c>
      <c r="P122" s="12">
        <v>0</v>
      </c>
      <c r="Q122" s="12">
        <v>0</v>
      </c>
      <c r="R122" s="12">
        <v>0</v>
      </c>
      <c r="S122" s="12"/>
      <c r="T122" s="12"/>
      <c r="U122" s="12">
        <v>3363440870</v>
      </c>
      <c r="V122" s="12"/>
      <c r="W122" s="10"/>
      <c r="X122" s="13"/>
      <c r="Y122" s="10"/>
      <c r="Z122" s="13"/>
      <c r="AA122" s="13"/>
    </row>
    <row r="123" spans="1:27" x14ac:dyDescent="0.25">
      <c r="A123" s="10" t="s">
        <v>383</v>
      </c>
      <c r="B123" s="10"/>
      <c r="C123" s="10"/>
      <c r="D123" s="10" t="s">
        <v>406</v>
      </c>
      <c r="E123" s="10" t="s">
        <v>25</v>
      </c>
      <c r="F123" s="11">
        <v>42552</v>
      </c>
      <c r="G123" s="11">
        <v>45290</v>
      </c>
      <c r="H123" s="10" t="s">
        <v>20</v>
      </c>
      <c r="I123" s="10" t="s">
        <v>36</v>
      </c>
      <c r="J123" s="12">
        <v>87779853986</v>
      </c>
      <c r="K123" s="12">
        <v>67626441000</v>
      </c>
      <c r="L123" s="12">
        <v>0</v>
      </c>
      <c r="M123" s="12"/>
      <c r="N123" s="12">
        <v>113776000000</v>
      </c>
      <c r="O123" s="12">
        <v>113776000000</v>
      </c>
      <c r="P123" s="12">
        <v>284440000000</v>
      </c>
      <c r="Q123" s="12">
        <v>0</v>
      </c>
      <c r="R123" s="12">
        <v>0</v>
      </c>
      <c r="S123" s="12"/>
      <c r="T123" s="12"/>
      <c r="U123" s="12">
        <v>553622294986</v>
      </c>
      <c r="V123" s="12">
        <v>563529952124</v>
      </c>
      <c r="W123" s="10"/>
      <c r="X123" s="13"/>
      <c r="Y123" s="10"/>
      <c r="Z123" s="13"/>
      <c r="AA123" s="13"/>
    </row>
    <row r="124" spans="1:27" x14ac:dyDescent="0.25">
      <c r="A124" s="10" t="s">
        <v>383</v>
      </c>
      <c r="B124" s="10"/>
      <c r="C124" s="10"/>
      <c r="D124" s="10" t="s">
        <v>407</v>
      </c>
      <c r="E124" s="10" t="s">
        <v>19</v>
      </c>
      <c r="F124" s="11">
        <v>42917</v>
      </c>
      <c r="G124" s="11">
        <v>44742</v>
      </c>
      <c r="H124" s="10" t="s">
        <v>40</v>
      </c>
      <c r="I124" s="10" t="s">
        <v>36</v>
      </c>
      <c r="J124" s="12">
        <v>0</v>
      </c>
      <c r="K124" s="12">
        <v>0</v>
      </c>
      <c r="L124" s="12">
        <v>0</v>
      </c>
      <c r="M124" s="12"/>
      <c r="N124" s="12">
        <v>100000000</v>
      </c>
      <c r="O124" s="12">
        <v>100000000</v>
      </c>
      <c r="P124" s="12"/>
      <c r="Q124" s="12">
        <v>0</v>
      </c>
      <c r="R124" s="12">
        <v>0</v>
      </c>
      <c r="S124" s="12"/>
      <c r="T124" s="12"/>
      <c r="U124" s="12">
        <v>100000000</v>
      </c>
      <c r="V124" s="12"/>
      <c r="W124" s="10"/>
      <c r="X124" s="13"/>
      <c r="Y124" s="10"/>
      <c r="Z124" s="13"/>
      <c r="AA124" s="13"/>
    </row>
    <row r="125" spans="1:27" x14ac:dyDescent="0.25">
      <c r="A125" s="10" t="s">
        <v>383</v>
      </c>
      <c r="B125" s="10"/>
      <c r="C125" s="10"/>
      <c r="D125" s="10" t="s">
        <v>407</v>
      </c>
      <c r="E125" s="10" t="s">
        <v>25</v>
      </c>
      <c r="F125" s="11">
        <v>42917</v>
      </c>
      <c r="G125" s="11">
        <v>44742</v>
      </c>
      <c r="H125" s="10" t="s">
        <v>40</v>
      </c>
      <c r="I125" s="10" t="s">
        <v>36</v>
      </c>
      <c r="J125" s="12">
        <v>95912000</v>
      </c>
      <c r="K125" s="12">
        <v>24682499550</v>
      </c>
      <c r="L125" s="12">
        <v>0</v>
      </c>
      <c r="M125" s="12"/>
      <c r="N125" s="12">
        <v>37764235000</v>
      </c>
      <c r="O125" s="12">
        <v>37764235000</v>
      </c>
      <c r="P125" s="12"/>
      <c r="Q125" s="12">
        <v>0</v>
      </c>
      <c r="R125" s="12">
        <v>0</v>
      </c>
      <c r="S125" s="12"/>
      <c r="T125" s="12"/>
      <c r="U125" s="12">
        <v>62542646550</v>
      </c>
      <c r="V125" s="12"/>
      <c r="W125" s="10"/>
      <c r="X125" s="13"/>
      <c r="Y125" s="10"/>
      <c r="Z125" s="13"/>
      <c r="AA125" s="13"/>
    </row>
    <row r="126" spans="1:27" x14ac:dyDescent="0.25">
      <c r="A126" s="10" t="s">
        <v>383</v>
      </c>
      <c r="B126" s="10"/>
      <c r="C126" s="10"/>
      <c r="D126" s="14" t="s">
        <v>408</v>
      </c>
      <c r="E126" s="10" t="s">
        <v>19</v>
      </c>
      <c r="F126" s="11">
        <v>43282</v>
      </c>
      <c r="G126" s="11">
        <v>44742</v>
      </c>
      <c r="H126" s="10" t="s">
        <v>20</v>
      </c>
      <c r="I126" s="10" t="s">
        <v>36</v>
      </c>
      <c r="J126" s="12">
        <v>1220023337230</v>
      </c>
      <c r="K126" s="12">
        <v>436188970000</v>
      </c>
      <c r="L126" s="12">
        <v>0</v>
      </c>
      <c r="M126" s="12"/>
      <c r="N126" s="12">
        <v>513680000000</v>
      </c>
      <c r="O126" s="12">
        <v>513680000000</v>
      </c>
      <c r="P126" s="12"/>
      <c r="Q126" s="12"/>
      <c r="R126" s="12"/>
      <c r="S126" s="12"/>
      <c r="T126" s="12"/>
      <c r="U126" s="12">
        <v>2169892307230</v>
      </c>
      <c r="V126" s="12"/>
      <c r="W126" s="10"/>
      <c r="X126" s="13"/>
      <c r="Y126" s="10"/>
      <c r="Z126" s="13"/>
      <c r="AA126" s="13"/>
    </row>
    <row r="127" spans="1:27" x14ac:dyDescent="0.25">
      <c r="A127" s="10" t="s">
        <v>383</v>
      </c>
      <c r="B127" s="10"/>
      <c r="C127" s="10"/>
      <c r="D127" s="10" t="s">
        <v>409</v>
      </c>
      <c r="E127" s="10" t="s">
        <v>19</v>
      </c>
      <c r="F127" s="11">
        <v>43647</v>
      </c>
      <c r="G127" s="11">
        <v>45107</v>
      </c>
      <c r="H127" s="10" t="s">
        <v>20</v>
      </c>
      <c r="I127" s="10" t="s">
        <v>36</v>
      </c>
      <c r="J127" s="12">
        <v>15116715132</v>
      </c>
      <c r="K127" s="12">
        <v>14000000000</v>
      </c>
      <c r="L127" s="12">
        <v>10455258122</v>
      </c>
      <c r="M127" s="12"/>
      <c r="N127" s="12"/>
      <c r="O127" s="12">
        <v>10455258122</v>
      </c>
      <c r="P127" s="12">
        <v>0</v>
      </c>
      <c r="Q127" s="12">
        <v>0</v>
      </c>
      <c r="R127" s="12">
        <v>0</v>
      </c>
      <c r="S127" s="12"/>
      <c r="T127" s="12"/>
      <c r="U127" s="12">
        <v>39571973254</v>
      </c>
      <c r="V127" s="12">
        <v>21450000000</v>
      </c>
      <c r="W127" s="10"/>
      <c r="X127" s="13"/>
      <c r="Y127" s="10"/>
      <c r="Z127" s="13"/>
      <c r="AA127" s="13"/>
    </row>
    <row r="128" spans="1:27" x14ac:dyDescent="0.25">
      <c r="A128" s="10" t="s">
        <v>383</v>
      </c>
      <c r="B128" s="10"/>
      <c r="C128" s="10"/>
      <c r="D128" s="10" t="s">
        <v>410</v>
      </c>
      <c r="E128" s="10" t="s">
        <v>19</v>
      </c>
      <c r="F128" s="11">
        <v>43647</v>
      </c>
      <c r="G128" s="11">
        <v>45473</v>
      </c>
      <c r="H128" s="10" t="s">
        <v>20</v>
      </c>
      <c r="I128" s="10" t="s">
        <v>36</v>
      </c>
      <c r="J128" s="12">
        <v>4186582565</v>
      </c>
      <c r="K128" s="12">
        <v>1000000000</v>
      </c>
      <c r="L128" s="12">
        <v>0</v>
      </c>
      <c r="M128" s="12"/>
      <c r="N128" s="12">
        <v>18000000000</v>
      </c>
      <c r="O128" s="12">
        <v>18000000000</v>
      </c>
      <c r="P128" s="12">
        <v>19759600000</v>
      </c>
      <c r="Q128" s="12">
        <v>1987700000</v>
      </c>
      <c r="R128" s="12">
        <v>0</v>
      </c>
      <c r="S128" s="12"/>
      <c r="T128" s="12"/>
      <c r="U128" s="12">
        <v>44933882565</v>
      </c>
      <c r="V128" s="12"/>
      <c r="W128" s="10"/>
      <c r="X128" s="13"/>
      <c r="Y128" s="10"/>
      <c r="Z128" s="13"/>
      <c r="AA128" s="13"/>
    </row>
    <row r="129" spans="1:27" x14ac:dyDescent="0.25">
      <c r="A129" s="10" t="s">
        <v>383</v>
      </c>
      <c r="B129" s="10"/>
      <c r="C129" s="10"/>
      <c r="D129" s="10" t="s">
        <v>411</v>
      </c>
      <c r="E129" s="10" t="s">
        <v>19</v>
      </c>
      <c r="F129" s="11">
        <v>43472</v>
      </c>
      <c r="G129" s="11">
        <v>45107</v>
      </c>
      <c r="H129" s="10"/>
      <c r="I129" s="10" t="s">
        <v>36</v>
      </c>
      <c r="J129" s="12">
        <v>0</v>
      </c>
      <c r="K129" s="12">
        <v>44400000000</v>
      </c>
      <c r="L129" s="12">
        <v>0</v>
      </c>
      <c r="M129" s="12"/>
      <c r="N129" s="12"/>
      <c r="O129" s="12">
        <v>0</v>
      </c>
      <c r="P129" s="12">
        <v>0</v>
      </c>
      <c r="Q129" s="12">
        <v>0</v>
      </c>
      <c r="R129" s="12"/>
      <c r="S129" s="12"/>
      <c r="T129" s="12"/>
      <c r="U129" s="12">
        <v>44400000000</v>
      </c>
      <c r="V129" s="12"/>
      <c r="W129" s="10"/>
      <c r="X129" s="13"/>
      <c r="Y129" s="10"/>
      <c r="Z129" s="13"/>
      <c r="AA129" s="13"/>
    </row>
    <row r="130" spans="1:27" x14ac:dyDescent="0.25">
      <c r="A130" s="10" t="s">
        <v>383</v>
      </c>
      <c r="B130" s="10"/>
      <c r="C130" s="10"/>
      <c r="D130" s="10" t="s">
        <v>411</v>
      </c>
      <c r="E130" s="10" t="s">
        <v>25</v>
      </c>
      <c r="F130" s="11">
        <v>43472</v>
      </c>
      <c r="G130" s="11">
        <v>45107</v>
      </c>
      <c r="H130" s="10"/>
      <c r="I130" s="10" t="s">
        <v>36</v>
      </c>
      <c r="J130" s="12">
        <v>0</v>
      </c>
      <c r="K130" s="12">
        <v>0</v>
      </c>
      <c r="L130" s="12">
        <v>0</v>
      </c>
      <c r="M130" s="12"/>
      <c r="N130" s="12"/>
      <c r="O130" s="12">
        <v>0</v>
      </c>
      <c r="P130" s="12">
        <v>23200000000</v>
      </c>
      <c r="Q130" s="12">
        <v>0</v>
      </c>
      <c r="R130" s="12"/>
      <c r="S130" s="12"/>
      <c r="T130" s="12"/>
      <c r="U130" s="12">
        <v>23200000000</v>
      </c>
      <c r="V130" s="12"/>
      <c r="W130" s="10"/>
      <c r="X130" s="13"/>
      <c r="Y130" s="10"/>
      <c r="Z130" s="13"/>
      <c r="AA130" s="13"/>
    </row>
    <row r="131" spans="1:27" x14ac:dyDescent="0.25">
      <c r="A131" s="10" t="s">
        <v>383</v>
      </c>
      <c r="B131" s="10"/>
      <c r="C131" s="10"/>
      <c r="D131" s="10" t="s">
        <v>412</v>
      </c>
      <c r="E131" s="10" t="s">
        <v>19</v>
      </c>
      <c r="F131" s="11">
        <v>43472</v>
      </c>
      <c r="G131" s="11">
        <v>45107</v>
      </c>
      <c r="H131" s="10"/>
      <c r="I131" s="10" t="s">
        <v>36</v>
      </c>
      <c r="J131" s="12">
        <v>0</v>
      </c>
      <c r="K131" s="12">
        <v>4800000000</v>
      </c>
      <c r="L131" s="12">
        <v>0</v>
      </c>
      <c r="M131" s="12"/>
      <c r="N131" s="12"/>
      <c r="O131" s="12">
        <v>0</v>
      </c>
      <c r="P131" s="12"/>
      <c r="Q131" s="12"/>
      <c r="R131" s="12"/>
      <c r="S131" s="12"/>
      <c r="T131" s="12"/>
      <c r="U131" s="12">
        <v>4800000000</v>
      </c>
      <c r="V131" s="12"/>
      <c r="W131" s="10"/>
      <c r="X131" s="13"/>
      <c r="Y131" s="10"/>
      <c r="Z131" s="13"/>
      <c r="AA131" s="13"/>
    </row>
    <row r="132" spans="1:27" x14ac:dyDescent="0.25">
      <c r="A132" s="10" t="s">
        <v>383</v>
      </c>
      <c r="B132" s="10"/>
      <c r="C132" s="10"/>
      <c r="D132" s="10" t="s">
        <v>412</v>
      </c>
      <c r="E132" s="10" t="s">
        <v>25</v>
      </c>
      <c r="F132" s="11">
        <v>43472</v>
      </c>
      <c r="G132" s="11">
        <v>45107</v>
      </c>
      <c r="H132" s="10"/>
      <c r="I132" s="10" t="s">
        <v>36</v>
      </c>
      <c r="J132" s="12">
        <v>0</v>
      </c>
      <c r="K132" s="12">
        <v>3838050000</v>
      </c>
      <c r="L132" s="12">
        <v>0</v>
      </c>
      <c r="M132" s="12"/>
      <c r="N132" s="12">
        <v>11000000000</v>
      </c>
      <c r="O132" s="12">
        <v>11000000000</v>
      </c>
      <c r="P132" s="12">
        <v>17000000000</v>
      </c>
      <c r="Q132" s="12"/>
      <c r="R132" s="12"/>
      <c r="S132" s="12"/>
      <c r="T132" s="12"/>
      <c r="U132" s="12">
        <v>31838050000</v>
      </c>
      <c r="V132" s="12"/>
      <c r="W132" s="10"/>
      <c r="X132" s="13"/>
      <c r="Y132" s="10"/>
      <c r="Z132" s="13"/>
      <c r="AA132" s="13"/>
    </row>
    <row r="133" spans="1:27" x14ac:dyDescent="0.25">
      <c r="A133" s="10" t="s">
        <v>383</v>
      </c>
      <c r="B133" s="10"/>
      <c r="C133" s="10"/>
      <c r="D133" s="10" t="s">
        <v>413</v>
      </c>
      <c r="E133" s="10" t="s">
        <v>19</v>
      </c>
      <c r="F133" s="11">
        <v>43472</v>
      </c>
      <c r="G133" s="11">
        <v>45107</v>
      </c>
      <c r="H133" s="10"/>
      <c r="I133" s="10" t="s">
        <v>36</v>
      </c>
      <c r="J133" s="12">
        <v>0</v>
      </c>
      <c r="K133" s="12">
        <v>4800000000</v>
      </c>
      <c r="L133" s="12">
        <v>0</v>
      </c>
      <c r="M133" s="12"/>
      <c r="N133" s="12"/>
      <c r="O133" s="12">
        <v>0</v>
      </c>
      <c r="P133" s="12"/>
      <c r="Q133" s="12"/>
      <c r="R133" s="12"/>
      <c r="S133" s="12"/>
      <c r="T133" s="12"/>
      <c r="U133" s="12">
        <v>4800000000</v>
      </c>
      <c r="V133" s="12"/>
      <c r="W133" s="10"/>
      <c r="X133" s="13"/>
      <c r="Y133" s="10"/>
      <c r="Z133" s="13"/>
      <c r="AA133" s="13"/>
    </row>
    <row r="134" spans="1:27" x14ac:dyDescent="0.25">
      <c r="A134" s="10" t="s">
        <v>383</v>
      </c>
      <c r="B134" s="10"/>
      <c r="C134" s="10"/>
      <c r="D134" s="10" t="s">
        <v>413</v>
      </c>
      <c r="E134" s="10" t="s">
        <v>25</v>
      </c>
      <c r="F134" s="11">
        <v>43472</v>
      </c>
      <c r="G134" s="11">
        <v>45107</v>
      </c>
      <c r="H134" s="10"/>
      <c r="I134" s="10" t="s">
        <v>36</v>
      </c>
      <c r="J134" s="12">
        <v>0</v>
      </c>
      <c r="K134" s="12">
        <v>0</v>
      </c>
      <c r="L134" s="12">
        <v>0</v>
      </c>
      <c r="M134" s="12"/>
      <c r="N134" s="12">
        <v>10000000000</v>
      </c>
      <c r="O134" s="12">
        <v>10000000000</v>
      </c>
      <c r="P134" s="12">
        <v>16000000000</v>
      </c>
      <c r="Q134" s="12"/>
      <c r="R134" s="12"/>
      <c r="S134" s="12"/>
      <c r="T134" s="12"/>
      <c r="U134" s="12">
        <v>26000000000</v>
      </c>
      <c r="V134" s="12"/>
      <c r="W134" s="10"/>
      <c r="X134" s="13"/>
      <c r="Y134" s="10"/>
      <c r="Z134" s="13"/>
      <c r="AA134" s="13"/>
    </row>
    <row r="135" spans="1:27" x14ac:dyDescent="0.25">
      <c r="A135" s="10" t="s">
        <v>383</v>
      </c>
      <c r="B135" s="10"/>
      <c r="C135" s="10"/>
      <c r="D135" s="10" t="s">
        <v>414</v>
      </c>
      <c r="E135" s="10" t="s">
        <v>19</v>
      </c>
      <c r="F135" s="11">
        <v>43472</v>
      </c>
      <c r="G135" s="11">
        <v>45107</v>
      </c>
      <c r="H135" s="10"/>
      <c r="I135" s="10" t="s">
        <v>36</v>
      </c>
      <c r="J135" s="12">
        <v>0</v>
      </c>
      <c r="K135" s="12">
        <v>3000000000</v>
      </c>
      <c r="L135" s="12">
        <v>0</v>
      </c>
      <c r="M135" s="12"/>
      <c r="N135" s="12">
        <v>7980000000</v>
      </c>
      <c r="O135" s="12">
        <v>7980000000</v>
      </c>
      <c r="P135" s="12">
        <v>11970000000</v>
      </c>
      <c r="Q135" s="12"/>
      <c r="R135" s="12"/>
      <c r="S135" s="12"/>
      <c r="T135" s="12"/>
      <c r="U135" s="12">
        <v>22950000000</v>
      </c>
      <c r="V135" s="12"/>
      <c r="W135" s="10"/>
      <c r="X135" s="13"/>
      <c r="Y135" s="10"/>
      <c r="Z135" s="13"/>
      <c r="AA135" s="13"/>
    </row>
    <row r="136" spans="1:27" x14ac:dyDescent="0.25">
      <c r="A136" s="10" t="s">
        <v>383</v>
      </c>
      <c r="B136" s="10"/>
      <c r="C136" s="10"/>
      <c r="D136" s="10" t="s">
        <v>414</v>
      </c>
      <c r="E136" s="10" t="s">
        <v>25</v>
      </c>
      <c r="F136" s="11">
        <v>43472</v>
      </c>
      <c r="G136" s="11">
        <v>45107</v>
      </c>
      <c r="H136" s="10"/>
      <c r="I136" s="10" t="s">
        <v>36</v>
      </c>
      <c r="J136" s="12">
        <v>0</v>
      </c>
      <c r="K136" s="12">
        <v>0</v>
      </c>
      <c r="L136" s="12">
        <v>0</v>
      </c>
      <c r="M136" s="12"/>
      <c r="N136" s="12">
        <v>45220000000</v>
      </c>
      <c r="O136" s="12">
        <v>45220000000</v>
      </c>
      <c r="P136" s="12">
        <v>67830000000</v>
      </c>
      <c r="Q136" s="12"/>
      <c r="R136" s="12"/>
      <c r="S136" s="12"/>
      <c r="T136" s="12"/>
      <c r="U136" s="12">
        <v>113050000000</v>
      </c>
      <c r="V136" s="12"/>
      <c r="W136" s="10"/>
      <c r="X136" s="13"/>
      <c r="Y136" s="10"/>
      <c r="Z136" s="13"/>
      <c r="AA136" s="13"/>
    </row>
    <row r="137" spans="1:27" x14ac:dyDescent="0.25">
      <c r="A137" s="10" t="s">
        <v>383</v>
      </c>
      <c r="B137" s="10"/>
      <c r="C137" s="10"/>
      <c r="D137" s="10" t="s">
        <v>415</v>
      </c>
      <c r="E137" s="10" t="s">
        <v>19</v>
      </c>
      <c r="F137" s="11">
        <v>43472</v>
      </c>
      <c r="G137" s="11">
        <v>44742</v>
      </c>
      <c r="H137" s="10" t="s">
        <v>20</v>
      </c>
      <c r="I137" s="10" t="s">
        <v>36</v>
      </c>
      <c r="J137" s="12">
        <v>10953408276</v>
      </c>
      <c r="K137" s="12">
        <v>16200000000</v>
      </c>
      <c r="L137" s="12">
        <v>0</v>
      </c>
      <c r="M137" s="12"/>
      <c r="N137" s="12"/>
      <c r="O137" s="12">
        <v>0</v>
      </c>
      <c r="P137" s="12"/>
      <c r="Q137" s="12">
        <v>0</v>
      </c>
      <c r="R137" s="12">
        <v>0</v>
      </c>
      <c r="S137" s="12"/>
      <c r="T137" s="12"/>
      <c r="U137" s="12">
        <v>27153408276</v>
      </c>
      <c r="V137" s="12"/>
      <c r="W137" s="10"/>
      <c r="X137" s="13"/>
      <c r="Y137" s="10"/>
      <c r="Z137" s="13"/>
      <c r="AA137" s="13"/>
    </row>
    <row r="138" spans="1:27" x14ac:dyDescent="0.25">
      <c r="A138" s="10" t="s">
        <v>383</v>
      </c>
      <c r="B138" s="10"/>
      <c r="C138" s="10"/>
      <c r="D138" s="10" t="s">
        <v>416</v>
      </c>
      <c r="E138" s="10" t="s">
        <v>19</v>
      </c>
      <c r="F138" s="11">
        <v>43472</v>
      </c>
      <c r="G138" s="11">
        <v>44742</v>
      </c>
      <c r="H138" s="10" t="s">
        <v>20</v>
      </c>
      <c r="I138" s="10" t="s">
        <v>36</v>
      </c>
      <c r="J138" s="12">
        <v>90811326532</v>
      </c>
      <c r="K138" s="12">
        <v>75500000000</v>
      </c>
      <c r="L138" s="12">
        <v>0</v>
      </c>
      <c r="M138" s="12"/>
      <c r="N138" s="12">
        <v>47000000000</v>
      </c>
      <c r="O138" s="12">
        <v>47000000000</v>
      </c>
      <c r="P138" s="12">
        <v>0</v>
      </c>
      <c r="Q138" s="12">
        <v>0</v>
      </c>
      <c r="R138" s="12">
        <v>0</v>
      </c>
      <c r="S138" s="12"/>
      <c r="T138" s="12"/>
      <c r="U138" s="12">
        <v>213311326532</v>
      </c>
      <c r="V138" s="12"/>
      <c r="W138" s="10"/>
      <c r="X138" s="13"/>
      <c r="Y138" s="10"/>
      <c r="Z138" s="13"/>
      <c r="AA138" s="13"/>
    </row>
    <row r="139" spans="1:27" x14ac:dyDescent="0.25">
      <c r="A139" s="10" t="s">
        <v>383</v>
      </c>
      <c r="B139" s="10"/>
      <c r="C139" s="10"/>
      <c r="D139" s="10" t="s">
        <v>417</v>
      </c>
      <c r="E139" s="10" t="s">
        <v>19</v>
      </c>
      <c r="F139" s="11">
        <v>43472</v>
      </c>
      <c r="G139" s="11">
        <v>44742</v>
      </c>
      <c r="H139" s="10" t="s">
        <v>20</v>
      </c>
      <c r="I139" s="10" t="s">
        <v>36</v>
      </c>
      <c r="J139" s="12">
        <v>127881194869</v>
      </c>
      <c r="K139" s="12">
        <v>47050000000</v>
      </c>
      <c r="L139" s="12">
        <v>0</v>
      </c>
      <c r="M139" s="12"/>
      <c r="N139" s="12">
        <v>22500000000</v>
      </c>
      <c r="O139" s="12">
        <v>22500000000</v>
      </c>
      <c r="P139" s="12">
        <v>0</v>
      </c>
      <c r="Q139" s="12">
        <v>0</v>
      </c>
      <c r="R139" s="12">
        <v>0</v>
      </c>
      <c r="S139" s="12"/>
      <c r="T139" s="12"/>
      <c r="U139" s="12">
        <v>197431194869</v>
      </c>
      <c r="V139" s="12"/>
      <c r="W139" s="10"/>
      <c r="X139" s="13"/>
      <c r="Y139" s="10"/>
      <c r="Z139" s="13"/>
      <c r="AA139" s="13"/>
    </row>
    <row r="140" spans="1:27" x14ac:dyDescent="0.25">
      <c r="A140" s="10" t="s">
        <v>383</v>
      </c>
      <c r="B140" s="10"/>
      <c r="C140" s="10"/>
      <c r="D140" s="10" t="s">
        <v>418</v>
      </c>
      <c r="E140" s="10" t="s">
        <v>19</v>
      </c>
      <c r="F140" s="11">
        <v>44013</v>
      </c>
      <c r="G140" s="11">
        <v>45838</v>
      </c>
      <c r="H140" s="10"/>
      <c r="I140" s="10" t="s">
        <v>36</v>
      </c>
      <c r="J140" s="12">
        <v>0</v>
      </c>
      <c r="K140" s="12"/>
      <c r="L140" s="12">
        <v>0</v>
      </c>
      <c r="M140" s="12"/>
      <c r="N140" s="12"/>
      <c r="O140" s="12">
        <v>0</v>
      </c>
      <c r="P140" s="12">
        <v>0</v>
      </c>
      <c r="Q140" s="12">
        <v>0</v>
      </c>
      <c r="R140" s="12">
        <v>0</v>
      </c>
      <c r="S140" s="12"/>
      <c r="T140" s="12"/>
      <c r="U140" s="12">
        <v>0</v>
      </c>
      <c r="V140" s="12"/>
      <c r="W140" s="10"/>
      <c r="X140" s="13"/>
      <c r="Y140" s="10"/>
      <c r="Z140" s="13"/>
      <c r="AA140" s="13"/>
    </row>
    <row r="141" spans="1:27" x14ac:dyDescent="0.25">
      <c r="A141" s="10" t="s">
        <v>383</v>
      </c>
      <c r="B141" s="10"/>
      <c r="C141" s="10"/>
      <c r="D141" s="10" t="s">
        <v>418</v>
      </c>
      <c r="E141" s="10" t="s">
        <v>25</v>
      </c>
      <c r="F141" s="11">
        <v>44013</v>
      </c>
      <c r="G141" s="11">
        <v>45838</v>
      </c>
      <c r="H141" s="10"/>
      <c r="I141" s="10" t="s">
        <v>36</v>
      </c>
      <c r="J141" s="12">
        <v>0</v>
      </c>
      <c r="K141" s="12"/>
      <c r="L141" s="12">
        <v>0</v>
      </c>
      <c r="M141" s="12"/>
      <c r="N141" s="12"/>
      <c r="O141" s="12"/>
      <c r="P141" s="12"/>
      <c r="Q141" s="12"/>
      <c r="R141" s="12"/>
      <c r="S141" s="12"/>
      <c r="T141" s="12"/>
      <c r="U141" s="12">
        <v>0</v>
      </c>
      <c r="V141" s="12"/>
      <c r="W141" s="10"/>
      <c r="X141" s="13"/>
      <c r="Y141" s="10"/>
      <c r="Z141" s="13"/>
      <c r="AA141" s="13"/>
    </row>
    <row r="142" spans="1:27" x14ac:dyDescent="0.25">
      <c r="A142" s="10" t="s">
        <v>383</v>
      </c>
      <c r="B142" s="10"/>
      <c r="C142" s="10"/>
      <c r="D142" s="10" t="s">
        <v>419</v>
      </c>
      <c r="E142" s="10" t="s">
        <v>19</v>
      </c>
      <c r="F142" s="11">
        <v>44013</v>
      </c>
      <c r="G142" s="11">
        <v>45838</v>
      </c>
      <c r="H142" s="10"/>
      <c r="I142" s="10" t="s">
        <v>36</v>
      </c>
      <c r="J142" s="12">
        <v>0</v>
      </c>
      <c r="K142" s="12">
        <v>100000000</v>
      </c>
      <c r="L142" s="12">
        <v>0</v>
      </c>
      <c r="M142" s="12"/>
      <c r="N142" s="12"/>
      <c r="O142" s="12">
        <v>0</v>
      </c>
      <c r="P142" s="12">
        <v>0</v>
      </c>
      <c r="Q142" s="12">
        <v>0</v>
      </c>
      <c r="R142" s="12">
        <v>0</v>
      </c>
      <c r="S142" s="12"/>
      <c r="T142" s="12"/>
      <c r="U142" s="12">
        <v>100000000</v>
      </c>
      <c r="V142" s="12"/>
      <c r="W142" s="10"/>
      <c r="X142" s="13"/>
      <c r="Y142" s="10"/>
      <c r="Z142" s="13"/>
      <c r="AA142" s="13"/>
    </row>
    <row r="143" spans="1:27" x14ac:dyDescent="0.25">
      <c r="A143" s="10" t="s">
        <v>383</v>
      </c>
      <c r="B143" s="10"/>
      <c r="C143" s="10"/>
      <c r="D143" s="10" t="s">
        <v>419</v>
      </c>
      <c r="E143" s="10" t="s">
        <v>25</v>
      </c>
      <c r="F143" s="11">
        <v>44013</v>
      </c>
      <c r="G143" s="11">
        <v>45838</v>
      </c>
      <c r="H143" s="10"/>
      <c r="I143" s="10" t="s">
        <v>36</v>
      </c>
      <c r="J143" s="12">
        <v>0</v>
      </c>
      <c r="K143" s="12">
        <v>1919025000</v>
      </c>
      <c r="L143" s="12">
        <v>0</v>
      </c>
      <c r="M143" s="12"/>
      <c r="N143" s="12">
        <v>78000000000</v>
      </c>
      <c r="O143" s="12">
        <v>78000000000</v>
      </c>
      <c r="P143" s="12">
        <v>117000000000</v>
      </c>
      <c r="Q143" s="12">
        <v>156000000000</v>
      </c>
      <c r="R143" s="12">
        <v>39000000000</v>
      </c>
      <c r="S143" s="12"/>
      <c r="T143" s="12"/>
      <c r="U143" s="12">
        <v>391919025000</v>
      </c>
      <c r="V143" s="12"/>
      <c r="W143" s="10"/>
      <c r="X143" s="13"/>
      <c r="Y143" s="10"/>
      <c r="Z143" s="13"/>
      <c r="AA143" s="13"/>
    </row>
    <row r="144" spans="1:27" x14ac:dyDescent="0.25">
      <c r="A144" s="10" t="s">
        <v>383</v>
      </c>
      <c r="B144" s="10"/>
      <c r="C144" s="10"/>
      <c r="D144" s="10" t="s">
        <v>420</v>
      </c>
      <c r="E144" s="10" t="s">
        <v>19</v>
      </c>
      <c r="F144" s="11">
        <v>44013</v>
      </c>
      <c r="G144" s="11">
        <v>45838</v>
      </c>
      <c r="H144" s="10" t="s">
        <v>20</v>
      </c>
      <c r="I144" s="10" t="s">
        <v>36</v>
      </c>
      <c r="J144" s="12">
        <v>0</v>
      </c>
      <c r="K144" s="12">
        <v>20550000000</v>
      </c>
      <c r="L144" s="12">
        <v>0</v>
      </c>
      <c r="M144" s="12"/>
      <c r="N144" s="12">
        <v>16000000000</v>
      </c>
      <c r="O144" s="12">
        <v>16000000000</v>
      </c>
      <c r="P144" s="12">
        <v>0</v>
      </c>
      <c r="Q144" s="12">
        <v>0</v>
      </c>
      <c r="R144" s="12">
        <v>0</v>
      </c>
      <c r="S144" s="12"/>
      <c r="T144" s="12"/>
      <c r="U144" s="12">
        <v>36550000000</v>
      </c>
      <c r="V144" s="12"/>
      <c r="W144" s="10"/>
      <c r="X144" s="13"/>
      <c r="Y144" s="10"/>
      <c r="Z144" s="13"/>
      <c r="AA144" s="13"/>
    </row>
    <row r="145" spans="1:27" x14ac:dyDescent="0.25">
      <c r="A145" s="10" t="s">
        <v>383</v>
      </c>
      <c r="B145" s="10"/>
      <c r="C145" s="10"/>
      <c r="D145" s="10" t="s">
        <v>421</v>
      </c>
      <c r="E145" s="10" t="s">
        <v>19</v>
      </c>
      <c r="F145" s="11">
        <v>44013</v>
      </c>
      <c r="G145" s="11">
        <v>45838</v>
      </c>
      <c r="H145" s="10"/>
      <c r="I145" s="10" t="s">
        <v>36</v>
      </c>
      <c r="J145" s="12">
        <v>6835173463</v>
      </c>
      <c r="K145" s="12">
        <v>10000000000</v>
      </c>
      <c r="L145" s="12">
        <v>0</v>
      </c>
      <c r="M145" s="12"/>
      <c r="N145" s="12"/>
      <c r="O145" s="12">
        <v>0</v>
      </c>
      <c r="P145" s="12">
        <v>0</v>
      </c>
      <c r="Q145" s="12">
        <v>0</v>
      </c>
      <c r="R145" s="12">
        <v>0</v>
      </c>
      <c r="S145" s="12"/>
      <c r="T145" s="12"/>
      <c r="U145" s="12">
        <v>16835173463</v>
      </c>
      <c r="V145" s="12"/>
      <c r="W145" s="10"/>
      <c r="X145" s="13"/>
      <c r="Y145" s="10"/>
      <c r="Z145" s="13"/>
      <c r="AA145" s="13"/>
    </row>
    <row r="146" spans="1:27" x14ac:dyDescent="0.25">
      <c r="A146" s="10" t="s">
        <v>383</v>
      </c>
      <c r="B146" s="10"/>
      <c r="C146" s="10"/>
      <c r="D146" s="10" t="s">
        <v>422</v>
      </c>
      <c r="E146" s="10" t="s">
        <v>19</v>
      </c>
      <c r="F146" s="11">
        <v>44013</v>
      </c>
      <c r="G146" s="11">
        <v>45838</v>
      </c>
      <c r="H146" s="10" t="s">
        <v>20</v>
      </c>
      <c r="I146" s="10" t="s">
        <v>36</v>
      </c>
      <c r="J146" s="12">
        <v>0</v>
      </c>
      <c r="K146" s="12">
        <v>62400000000</v>
      </c>
      <c r="L146" s="12">
        <v>0</v>
      </c>
      <c r="M146" s="12"/>
      <c r="N146" s="12">
        <v>101000000000</v>
      </c>
      <c r="O146" s="12">
        <v>101000000000</v>
      </c>
      <c r="P146" s="12">
        <v>101000000000</v>
      </c>
      <c r="Q146" s="12">
        <v>101000000000</v>
      </c>
      <c r="R146" s="12">
        <v>40000000000</v>
      </c>
      <c r="S146" s="12"/>
      <c r="T146" s="12"/>
      <c r="U146" s="12">
        <v>405400000000</v>
      </c>
      <c r="V146" s="12"/>
      <c r="W146" s="10"/>
      <c r="X146" s="13"/>
      <c r="Y146" s="10"/>
      <c r="Z146" s="13"/>
      <c r="AA146" s="13"/>
    </row>
    <row r="147" spans="1:27" x14ac:dyDescent="0.25">
      <c r="A147" s="10" t="s">
        <v>383</v>
      </c>
      <c r="B147" s="10"/>
      <c r="C147" s="10"/>
      <c r="D147" s="10" t="s">
        <v>423</v>
      </c>
      <c r="E147" s="10" t="s">
        <v>19</v>
      </c>
      <c r="F147" s="11">
        <v>44013</v>
      </c>
      <c r="G147" s="11">
        <v>45838</v>
      </c>
      <c r="H147" s="10"/>
      <c r="I147" s="10" t="s">
        <v>36</v>
      </c>
      <c r="J147" s="12">
        <v>0</v>
      </c>
      <c r="K147" s="12">
        <v>22050000000</v>
      </c>
      <c r="L147" s="12">
        <v>0</v>
      </c>
      <c r="M147" s="12"/>
      <c r="N147" s="12"/>
      <c r="O147" s="12">
        <v>0</v>
      </c>
      <c r="P147" s="12">
        <v>0</v>
      </c>
      <c r="Q147" s="12">
        <v>0</v>
      </c>
      <c r="R147" s="12">
        <v>0</v>
      </c>
      <c r="S147" s="12"/>
      <c r="T147" s="12"/>
      <c r="U147" s="12">
        <v>22050000000</v>
      </c>
      <c r="V147" s="12"/>
      <c r="W147" s="10"/>
      <c r="X147" s="13"/>
      <c r="Y147" s="10"/>
      <c r="Z147" s="13"/>
      <c r="AA147" s="13"/>
    </row>
    <row r="148" spans="1:27" x14ac:dyDescent="0.25">
      <c r="A148" s="10" t="s">
        <v>424</v>
      </c>
      <c r="B148" s="10"/>
      <c r="C148" s="10"/>
      <c r="D148" s="10" t="s">
        <v>425</v>
      </c>
      <c r="E148" s="10" t="s">
        <v>19</v>
      </c>
      <c r="F148" s="11">
        <v>41281</v>
      </c>
      <c r="G148" s="11">
        <v>44742</v>
      </c>
      <c r="H148" s="10" t="s">
        <v>20</v>
      </c>
      <c r="I148" s="10" t="s">
        <v>36</v>
      </c>
      <c r="J148" s="12">
        <v>47970000000</v>
      </c>
      <c r="K148" s="12">
        <v>20400000000</v>
      </c>
      <c r="L148" s="12"/>
      <c r="M148" s="12"/>
      <c r="N148" s="12">
        <v>5310000000</v>
      </c>
      <c r="O148" s="12">
        <v>5310000000</v>
      </c>
      <c r="P148" s="12"/>
      <c r="Q148" s="12"/>
      <c r="R148" s="12"/>
      <c r="S148" s="12"/>
      <c r="T148" s="12"/>
      <c r="U148" s="12">
        <v>73680000000</v>
      </c>
      <c r="V148" s="12">
        <v>140800000000</v>
      </c>
      <c r="W148" s="10"/>
      <c r="X148" s="13"/>
      <c r="Y148" s="10" t="s">
        <v>23</v>
      </c>
      <c r="Z148" s="13"/>
      <c r="AA148" s="13"/>
    </row>
    <row r="149" spans="1:27" x14ac:dyDescent="0.25">
      <c r="A149" s="10" t="s">
        <v>424</v>
      </c>
      <c r="B149" s="10"/>
      <c r="C149" s="10"/>
      <c r="D149" s="10" t="s">
        <v>425</v>
      </c>
      <c r="E149" s="10" t="s">
        <v>25</v>
      </c>
      <c r="F149" s="11">
        <v>41281</v>
      </c>
      <c r="G149" s="11">
        <v>44742</v>
      </c>
      <c r="H149" s="10" t="s">
        <v>20</v>
      </c>
      <c r="I149" s="10" t="s">
        <v>36</v>
      </c>
      <c r="J149" s="12">
        <v>37720000000</v>
      </c>
      <c r="K149" s="12">
        <v>92040000000</v>
      </c>
      <c r="L149" s="12"/>
      <c r="M149" s="12"/>
      <c r="N149" s="12">
        <v>1003000000</v>
      </c>
      <c r="O149" s="12">
        <v>1003000000</v>
      </c>
      <c r="P149" s="12"/>
      <c r="Q149" s="12"/>
      <c r="R149" s="12"/>
      <c r="S149" s="12"/>
      <c r="T149" s="12"/>
      <c r="U149" s="12">
        <v>130763000000</v>
      </c>
      <c r="V149" s="12">
        <v>178000000000</v>
      </c>
      <c r="W149" s="10"/>
      <c r="X149" s="13"/>
      <c r="Y149" s="10" t="s">
        <v>28</v>
      </c>
      <c r="Z149" s="13"/>
      <c r="AA149" s="13"/>
    </row>
    <row r="150" spans="1:27" x14ac:dyDescent="0.25">
      <c r="A150" s="10" t="s">
        <v>424</v>
      </c>
      <c r="B150" s="10"/>
      <c r="C150" s="10"/>
      <c r="D150" s="10" t="s">
        <v>426</v>
      </c>
      <c r="E150" s="10" t="s">
        <v>19</v>
      </c>
      <c r="F150" s="11">
        <v>41281</v>
      </c>
      <c r="G150" s="11">
        <v>44711</v>
      </c>
      <c r="H150" s="10" t="s">
        <v>20</v>
      </c>
      <c r="I150" s="10" t="s">
        <v>36</v>
      </c>
      <c r="J150" s="12">
        <v>0</v>
      </c>
      <c r="K150" s="12">
        <v>0</v>
      </c>
      <c r="L150" s="12"/>
      <c r="M150" s="12"/>
      <c r="N150" s="12">
        <v>0</v>
      </c>
      <c r="O150" s="12">
        <v>0</v>
      </c>
      <c r="P150" s="12"/>
      <c r="Q150" s="12"/>
      <c r="R150" s="12"/>
      <c r="S150" s="12"/>
      <c r="T150" s="12"/>
      <c r="U150" s="12">
        <v>0</v>
      </c>
      <c r="V150" s="12"/>
      <c r="W150" s="10"/>
      <c r="X150" s="13"/>
      <c r="Y150" s="10"/>
      <c r="Z150" s="13"/>
      <c r="AA150" s="13"/>
    </row>
    <row r="151" spans="1:27" x14ac:dyDescent="0.25">
      <c r="A151" s="10" t="s">
        <v>424</v>
      </c>
      <c r="B151" s="10"/>
      <c r="C151" s="10"/>
      <c r="D151" s="10" t="s">
        <v>426</v>
      </c>
      <c r="E151" s="10" t="s">
        <v>25</v>
      </c>
      <c r="F151" s="11">
        <v>41281</v>
      </c>
      <c r="G151" s="11">
        <v>44711</v>
      </c>
      <c r="H151" s="10" t="s">
        <v>20</v>
      </c>
      <c r="I151" s="10" t="s">
        <v>36</v>
      </c>
      <c r="J151" s="12">
        <v>493660000000</v>
      </c>
      <c r="K151" s="12">
        <v>149680000000</v>
      </c>
      <c r="L151" s="12"/>
      <c r="M151" s="12"/>
      <c r="N151" s="12">
        <v>117943000000</v>
      </c>
      <c r="O151" s="12">
        <v>117943000000</v>
      </c>
      <c r="P151" s="12">
        <v>0</v>
      </c>
      <c r="Q151" s="12">
        <v>0</v>
      </c>
      <c r="R151" s="12">
        <v>0</v>
      </c>
      <c r="S151" s="12"/>
      <c r="T151" s="12"/>
      <c r="U151" s="12">
        <v>761283000000</v>
      </c>
      <c r="V151" s="12">
        <v>750000000000</v>
      </c>
      <c r="W151" s="10" t="s">
        <v>427</v>
      </c>
      <c r="X151" s="13"/>
      <c r="Y151" s="10"/>
      <c r="Z151" s="13"/>
      <c r="AA151" s="13"/>
    </row>
    <row r="152" spans="1:27" x14ac:dyDescent="0.25">
      <c r="A152" s="10" t="s">
        <v>424</v>
      </c>
      <c r="B152" s="10"/>
      <c r="C152" s="10"/>
      <c r="D152" s="10" t="s">
        <v>428</v>
      </c>
      <c r="E152" s="10" t="s">
        <v>19</v>
      </c>
      <c r="F152" s="11">
        <v>42742</v>
      </c>
      <c r="G152" s="11">
        <v>45107</v>
      </c>
      <c r="H152" s="10" t="s">
        <v>20</v>
      </c>
      <c r="I152" s="10" t="s">
        <v>36</v>
      </c>
      <c r="J152" s="12">
        <v>18370000000</v>
      </c>
      <c r="K152" s="12">
        <v>3000000000</v>
      </c>
      <c r="L152" s="12"/>
      <c r="M152" s="12"/>
      <c r="N152" s="12">
        <v>3000000000</v>
      </c>
      <c r="O152" s="12">
        <v>3000000000</v>
      </c>
      <c r="P152" s="12">
        <v>6000000000</v>
      </c>
      <c r="Q152" s="12">
        <v>0</v>
      </c>
      <c r="R152" s="12">
        <v>0</v>
      </c>
      <c r="S152" s="12"/>
      <c r="T152" s="12"/>
      <c r="U152" s="12">
        <v>30370000000</v>
      </c>
      <c r="V152" s="12">
        <v>22188185376</v>
      </c>
      <c r="W152" s="10" t="s">
        <v>429</v>
      </c>
      <c r="X152" s="13"/>
      <c r="Y152" s="10"/>
      <c r="Z152" s="13"/>
      <c r="AA152" s="13"/>
    </row>
    <row r="153" spans="1:27" x14ac:dyDescent="0.25">
      <c r="A153" s="10" t="s">
        <v>424</v>
      </c>
      <c r="B153" s="10"/>
      <c r="C153" s="10"/>
      <c r="D153" s="10" t="s">
        <v>428</v>
      </c>
      <c r="E153" s="10" t="s">
        <v>25</v>
      </c>
      <c r="F153" s="11">
        <v>42742</v>
      </c>
      <c r="G153" s="11">
        <v>45107</v>
      </c>
      <c r="H153" s="10" t="s">
        <v>20</v>
      </c>
      <c r="I153" s="10" t="s">
        <v>36</v>
      </c>
      <c r="J153" s="12">
        <v>268780000000</v>
      </c>
      <c r="K153" s="12">
        <v>292840000000</v>
      </c>
      <c r="L153" s="12"/>
      <c r="M153" s="12"/>
      <c r="N153" s="12">
        <v>58972000000</v>
      </c>
      <c r="O153" s="12">
        <v>58972000000</v>
      </c>
      <c r="P153" s="12">
        <v>465000000000</v>
      </c>
      <c r="Q153" s="12">
        <v>0</v>
      </c>
      <c r="R153" s="12">
        <v>0</v>
      </c>
      <c r="S153" s="12"/>
      <c r="T153" s="12"/>
      <c r="U153" s="12">
        <v>1085592000000</v>
      </c>
      <c r="V153" s="12">
        <v>1220401037960</v>
      </c>
      <c r="W153" s="10" t="s">
        <v>430</v>
      </c>
      <c r="X153" s="13"/>
      <c r="Y153" s="10"/>
      <c r="Z153" s="13"/>
      <c r="AA153" s="13"/>
    </row>
    <row r="154" spans="1:27" x14ac:dyDescent="0.25">
      <c r="A154" s="10" t="s">
        <v>424</v>
      </c>
      <c r="B154" s="10"/>
      <c r="C154" s="10"/>
      <c r="D154" s="10" t="s">
        <v>431</v>
      </c>
      <c r="E154" s="10" t="s">
        <v>19</v>
      </c>
      <c r="F154" s="11">
        <v>42742</v>
      </c>
      <c r="G154" s="11"/>
      <c r="H154" s="10" t="s">
        <v>20</v>
      </c>
      <c r="I154" s="10" t="s">
        <v>36</v>
      </c>
      <c r="J154" s="12">
        <v>1090000000</v>
      </c>
      <c r="K154" s="12">
        <v>1000000000</v>
      </c>
      <c r="L154" s="12"/>
      <c r="M154" s="12"/>
      <c r="N154" s="12">
        <v>2000000000</v>
      </c>
      <c r="O154" s="12">
        <v>2000000000</v>
      </c>
      <c r="P154" s="12">
        <v>5000000000</v>
      </c>
      <c r="Q154" s="12">
        <v>0</v>
      </c>
      <c r="R154" s="12">
        <v>0</v>
      </c>
      <c r="S154" s="12"/>
      <c r="T154" s="12"/>
      <c r="U154" s="12">
        <v>9090000000</v>
      </c>
      <c r="V154" s="12">
        <v>8140000000</v>
      </c>
      <c r="W154" s="10"/>
      <c r="X154" s="13"/>
      <c r="Y154" s="10"/>
      <c r="Z154" s="13"/>
      <c r="AA154" s="13"/>
    </row>
    <row r="155" spans="1:27" x14ac:dyDescent="0.25">
      <c r="A155" s="10" t="s">
        <v>424</v>
      </c>
      <c r="B155" s="10"/>
      <c r="C155" s="10"/>
      <c r="D155" s="10" t="s">
        <v>431</v>
      </c>
      <c r="E155" s="10" t="s">
        <v>25</v>
      </c>
      <c r="F155" s="11">
        <v>42742</v>
      </c>
      <c r="G155" s="11"/>
      <c r="H155" s="10" t="s">
        <v>20</v>
      </c>
      <c r="I155" s="10" t="s">
        <v>36</v>
      </c>
      <c r="J155" s="12">
        <v>1820000000</v>
      </c>
      <c r="K155" s="12">
        <v>25190000000</v>
      </c>
      <c r="L155" s="12"/>
      <c r="M155" s="12"/>
      <c r="N155" s="12">
        <v>5504000000</v>
      </c>
      <c r="O155" s="12">
        <v>5504000000</v>
      </c>
      <c r="P155" s="12">
        <v>0</v>
      </c>
      <c r="Q155" s="12">
        <v>0</v>
      </c>
      <c r="R155" s="12">
        <v>0</v>
      </c>
      <c r="S155" s="12"/>
      <c r="T155" s="12"/>
      <c r="U155" s="12">
        <v>32514000000</v>
      </c>
      <c r="V155" s="12">
        <v>53280000000</v>
      </c>
      <c r="W155" s="10" t="s">
        <v>432</v>
      </c>
      <c r="X155" s="13"/>
      <c r="Y155" s="10"/>
      <c r="Z155" s="13"/>
      <c r="AA155" s="13"/>
    </row>
    <row r="156" spans="1:27" x14ac:dyDescent="0.25">
      <c r="A156" s="10" t="s">
        <v>424</v>
      </c>
      <c r="B156" s="10"/>
      <c r="C156" s="10"/>
      <c r="D156" s="10" t="s">
        <v>433</v>
      </c>
      <c r="E156" s="10" t="s">
        <v>19</v>
      </c>
      <c r="F156" s="11">
        <v>41281</v>
      </c>
      <c r="G156" s="11">
        <v>44742</v>
      </c>
      <c r="H156" s="10" t="s">
        <v>20</v>
      </c>
      <c r="I156" s="10" t="s">
        <v>36</v>
      </c>
      <c r="J156" s="12">
        <v>273950000000</v>
      </c>
      <c r="K156" s="12">
        <v>20000000000</v>
      </c>
      <c r="L156" s="12"/>
      <c r="M156" s="12"/>
      <c r="N156" s="12">
        <v>19000000000</v>
      </c>
      <c r="O156" s="12">
        <v>19000000000</v>
      </c>
      <c r="P156" s="12"/>
      <c r="Q156" s="12"/>
      <c r="R156" s="12"/>
      <c r="S156" s="12"/>
      <c r="T156" s="12"/>
      <c r="U156" s="12">
        <v>312950000000</v>
      </c>
      <c r="V156" s="12">
        <v>9200000000000</v>
      </c>
      <c r="W156" s="10" t="s">
        <v>434</v>
      </c>
      <c r="X156" s="13"/>
      <c r="Y156" s="10"/>
      <c r="Z156" s="13"/>
      <c r="AA156" s="13"/>
    </row>
    <row r="157" spans="1:27" x14ac:dyDescent="0.25">
      <c r="A157" s="10" t="s">
        <v>424</v>
      </c>
      <c r="B157" s="10"/>
      <c r="C157" s="10"/>
      <c r="D157" s="10" t="s">
        <v>433</v>
      </c>
      <c r="E157" s="10" t="s">
        <v>25</v>
      </c>
      <c r="F157" s="11">
        <v>41281</v>
      </c>
      <c r="G157" s="11">
        <v>44742</v>
      </c>
      <c r="H157" s="10" t="s">
        <v>20</v>
      </c>
      <c r="I157" s="10" t="s">
        <v>36</v>
      </c>
      <c r="J157" s="12">
        <v>0</v>
      </c>
      <c r="K157" s="12">
        <v>0</v>
      </c>
      <c r="L157" s="12"/>
      <c r="M157" s="12"/>
      <c r="N157" s="12">
        <v>0</v>
      </c>
      <c r="O157" s="12">
        <v>0</v>
      </c>
      <c r="P157" s="12"/>
      <c r="Q157" s="12"/>
      <c r="R157" s="12"/>
      <c r="S157" s="12"/>
      <c r="T157" s="12"/>
      <c r="U157" s="12">
        <v>0</v>
      </c>
      <c r="V157" s="12"/>
      <c r="W157" s="10"/>
      <c r="X157" s="13"/>
      <c r="Y157" s="10"/>
      <c r="Z157" s="13"/>
      <c r="AA157" s="13"/>
    </row>
    <row r="158" spans="1:27" x14ac:dyDescent="0.25">
      <c r="A158" s="10" t="s">
        <v>424</v>
      </c>
      <c r="B158" s="10"/>
      <c r="C158" s="10"/>
      <c r="D158" s="10" t="s">
        <v>435</v>
      </c>
      <c r="E158" s="10" t="s">
        <v>19</v>
      </c>
      <c r="F158" s="11">
        <v>41281</v>
      </c>
      <c r="G158" s="11"/>
      <c r="H158" s="10" t="s">
        <v>20</v>
      </c>
      <c r="I158" s="10" t="s">
        <v>36</v>
      </c>
      <c r="J158" s="12">
        <v>42980000000</v>
      </c>
      <c r="K158" s="12">
        <v>30200000000</v>
      </c>
      <c r="L158" s="12"/>
      <c r="M158" s="12"/>
      <c r="N158" s="12">
        <v>29200000000</v>
      </c>
      <c r="O158" s="12">
        <v>29200000000</v>
      </c>
      <c r="P158" s="12">
        <v>0</v>
      </c>
      <c r="Q158" s="12">
        <v>0</v>
      </c>
      <c r="R158" s="12">
        <v>0</v>
      </c>
      <c r="S158" s="12"/>
      <c r="T158" s="12"/>
      <c r="U158" s="12">
        <v>102380000000</v>
      </c>
      <c r="V158" s="12">
        <v>119570000000</v>
      </c>
      <c r="W158" s="10"/>
      <c r="X158" s="13"/>
      <c r="Y158" s="10"/>
      <c r="Z158" s="13"/>
      <c r="AA158" s="13"/>
    </row>
    <row r="159" spans="1:27" x14ac:dyDescent="0.25">
      <c r="A159" s="10" t="s">
        <v>424</v>
      </c>
      <c r="B159" s="10"/>
      <c r="C159" s="10"/>
      <c r="D159" s="14" t="s">
        <v>436</v>
      </c>
      <c r="E159" s="10" t="s">
        <v>19</v>
      </c>
      <c r="F159" s="11">
        <v>42742</v>
      </c>
      <c r="G159" s="11">
        <v>44742</v>
      </c>
      <c r="H159" s="10" t="s">
        <v>20</v>
      </c>
      <c r="I159" s="10" t="s">
        <v>36</v>
      </c>
      <c r="J159" s="12">
        <v>340000000</v>
      </c>
      <c r="K159" s="12">
        <v>500000000</v>
      </c>
      <c r="L159" s="12"/>
      <c r="M159" s="12"/>
      <c r="N159" s="12">
        <v>500000000</v>
      </c>
      <c r="O159" s="12">
        <v>500000000</v>
      </c>
      <c r="P159" s="12">
        <v>0</v>
      </c>
      <c r="Q159" s="12">
        <v>0</v>
      </c>
      <c r="R159" s="12">
        <v>0</v>
      </c>
      <c r="S159" s="12"/>
      <c r="T159" s="12"/>
      <c r="U159" s="12">
        <v>1340000000</v>
      </c>
      <c r="V159" s="12">
        <v>1831210000000</v>
      </c>
      <c r="W159" s="10"/>
      <c r="X159" s="13"/>
      <c r="Y159" s="10"/>
      <c r="Z159" s="13"/>
      <c r="AA159" s="13"/>
    </row>
    <row r="160" spans="1:27" x14ac:dyDescent="0.25">
      <c r="A160" s="10" t="s">
        <v>424</v>
      </c>
      <c r="B160" s="10"/>
      <c r="C160" s="10"/>
      <c r="D160" s="10" t="s">
        <v>437</v>
      </c>
      <c r="E160" s="10" t="s">
        <v>19</v>
      </c>
      <c r="F160" s="11">
        <v>43107</v>
      </c>
      <c r="G160" s="11"/>
      <c r="H160" s="10" t="s">
        <v>20</v>
      </c>
      <c r="I160" s="10" t="s">
        <v>36</v>
      </c>
      <c r="J160" s="12">
        <v>935040000000</v>
      </c>
      <c r="K160" s="12">
        <v>543230000000</v>
      </c>
      <c r="L160" s="12"/>
      <c r="M160" s="12"/>
      <c r="N160" s="12">
        <v>142737000000</v>
      </c>
      <c r="O160" s="12">
        <v>142737000000</v>
      </c>
      <c r="P160" s="12">
        <v>19000000000</v>
      </c>
      <c r="Q160" s="12">
        <v>0</v>
      </c>
      <c r="R160" s="12">
        <v>0</v>
      </c>
      <c r="S160" s="12"/>
      <c r="T160" s="12"/>
      <c r="U160" s="12">
        <v>1640007000000</v>
      </c>
      <c r="V160" s="12">
        <v>1668220000000</v>
      </c>
      <c r="W160" s="10" t="s">
        <v>438</v>
      </c>
      <c r="X160" s="13"/>
      <c r="Y160" s="10"/>
      <c r="Z160" s="13"/>
      <c r="AA160" s="13"/>
    </row>
    <row r="161" spans="1:27" x14ac:dyDescent="0.25">
      <c r="A161" s="10" t="s">
        <v>424</v>
      </c>
      <c r="B161" s="10"/>
      <c r="C161" s="10"/>
      <c r="D161" s="10" t="s">
        <v>439</v>
      </c>
      <c r="E161" s="10" t="s">
        <v>19</v>
      </c>
      <c r="F161" s="11">
        <v>42552</v>
      </c>
      <c r="G161" s="11"/>
      <c r="H161" s="10" t="s">
        <v>20</v>
      </c>
      <c r="I161" s="10" t="s">
        <v>36</v>
      </c>
      <c r="J161" s="12">
        <v>12970000000</v>
      </c>
      <c r="K161" s="12">
        <v>10140000000</v>
      </c>
      <c r="L161" s="12"/>
      <c r="M161" s="12"/>
      <c r="N161" s="12">
        <v>10740000000</v>
      </c>
      <c r="O161" s="12">
        <v>10740000000</v>
      </c>
      <c r="P161" s="12">
        <v>12000000000</v>
      </c>
      <c r="Q161" s="12">
        <v>0</v>
      </c>
      <c r="R161" s="12">
        <v>0</v>
      </c>
      <c r="S161" s="12"/>
      <c r="T161" s="12"/>
      <c r="U161" s="12">
        <v>45850000000</v>
      </c>
      <c r="V161" s="12">
        <v>63000000000</v>
      </c>
      <c r="W161" s="10"/>
      <c r="X161" s="13"/>
      <c r="Y161" s="10"/>
      <c r="Z161" s="13"/>
      <c r="AA161" s="13"/>
    </row>
    <row r="162" spans="1:27" x14ac:dyDescent="0.25">
      <c r="A162" s="10" t="s">
        <v>424</v>
      </c>
      <c r="B162" s="10"/>
      <c r="C162" s="10"/>
      <c r="D162" s="10" t="s">
        <v>440</v>
      </c>
      <c r="E162" s="10" t="s">
        <v>19</v>
      </c>
      <c r="F162" s="11">
        <v>43472</v>
      </c>
      <c r="G162" s="11"/>
      <c r="H162" s="10" t="s">
        <v>20</v>
      </c>
      <c r="I162" s="10" t="s">
        <v>36</v>
      </c>
      <c r="J162" s="12">
        <v>15410000000</v>
      </c>
      <c r="K162" s="12">
        <v>31900000000</v>
      </c>
      <c r="L162" s="12"/>
      <c r="M162" s="12"/>
      <c r="N162" s="12">
        <v>21300000000</v>
      </c>
      <c r="O162" s="12">
        <v>21300000000</v>
      </c>
      <c r="P162" s="12">
        <v>80000000000</v>
      </c>
      <c r="Q162" s="12">
        <v>100000000000</v>
      </c>
      <c r="R162" s="12">
        <v>0</v>
      </c>
      <c r="S162" s="12"/>
      <c r="T162" s="12"/>
      <c r="U162" s="12">
        <v>248610000000</v>
      </c>
      <c r="V162" s="12">
        <v>300000000000</v>
      </c>
      <c r="W162" s="10"/>
      <c r="X162" s="13"/>
      <c r="Y162" s="10"/>
      <c r="Z162" s="13"/>
      <c r="AA162" s="13"/>
    </row>
    <row r="163" spans="1:27" x14ac:dyDescent="0.25">
      <c r="A163" s="10" t="s">
        <v>424</v>
      </c>
      <c r="B163" s="10"/>
      <c r="C163" s="10"/>
      <c r="D163" s="10" t="s">
        <v>441</v>
      </c>
      <c r="E163" s="10" t="s">
        <v>19</v>
      </c>
      <c r="F163" s="11">
        <v>43837</v>
      </c>
      <c r="G163" s="11">
        <v>46203</v>
      </c>
      <c r="H163" s="10" t="s">
        <v>20</v>
      </c>
      <c r="I163" s="10" t="s">
        <v>36</v>
      </c>
      <c r="J163" s="12">
        <v>0</v>
      </c>
      <c r="K163" s="12">
        <v>2000000000</v>
      </c>
      <c r="L163" s="12"/>
      <c r="M163" s="12"/>
      <c r="N163" s="12">
        <v>2000000000</v>
      </c>
      <c r="O163" s="12">
        <v>2000000000</v>
      </c>
      <c r="P163" s="12">
        <v>10000000000</v>
      </c>
      <c r="Q163" s="12">
        <v>6000000000</v>
      </c>
      <c r="R163" s="12">
        <v>8000000000</v>
      </c>
      <c r="S163" s="12">
        <v>4000000000</v>
      </c>
      <c r="T163" s="12"/>
      <c r="U163" s="12">
        <v>32000000000</v>
      </c>
      <c r="V163" s="12">
        <v>77760000000</v>
      </c>
      <c r="W163" s="10"/>
      <c r="X163" s="13"/>
      <c r="Y163" s="10"/>
      <c r="Z163" s="13"/>
      <c r="AA163" s="13"/>
    </row>
    <row r="164" spans="1:27" x14ac:dyDescent="0.25">
      <c r="A164" s="10" t="s">
        <v>424</v>
      </c>
      <c r="B164" s="10"/>
      <c r="C164" s="10"/>
      <c r="D164" s="10" t="s">
        <v>441</v>
      </c>
      <c r="E164" s="10" t="s">
        <v>25</v>
      </c>
      <c r="F164" s="11">
        <v>43837</v>
      </c>
      <c r="G164" s="11">
        <v>46203</v>
      </c>
      <c r="H164" s="10" t="s">
        <v>20</v>
      </c>
      <c r="I164" s="10" t="s">
        <v>36</v>
      </c>
      <c r="J164" s="12">
        <v>0</v>
      </c>
      <c r="K164" s="12">
        <v>49890000000</v>
      </c>
      <c r="L164" s="12"/>
      <c r="M164" s="12"/>
      <c r="N164" s="12">
        <v>40494000000</v>
      </c>
      <c r="O164" s="12"/>
      <c r="P164" s="12">
        <v>265950000000</v>
      </c>
      <c r="Q164" s="12">
        <v>271006672860</v>
      </c>
      <c r="R164" s="12">
        <v>391504940640</v>
      </c>
      <c r="S164" s="12">
        <v>264918343166</v>
      </c>
      <c r="T164" s="12"/>
      <c r="U164" s="12">
        <v>1243269956666</v>
      </c>
      <c r="V164" s="12">
        <v>1407330000000</v>
      </c>
      <c r="W164" s="10" t="s">
        <v>430</v>
      </c>
      <c r="X164" s="13"/>
      <c r="Y164" s="10"/>
      <c r="Z164" s="13"/>
      <c r="AA164" s="13"/>
    </row>
    <row r="165" spans="1:27" x14ac:dyDescent="0.25">
      <c r="A165" s="10" t="s">
        <v>424</v>
      </c>
      <c r="B165" s="10"/>
      <c r="C165" s="10"/>
      <c r="D165" s="10" t="s">
        <v>442</v>
      </c>
      <c r="E165" s="10" t="s">
        <v>19</v>
      </c>
      <c r="F165" s="11">
        <v>44378</v>
      </c>
      <c r="G165" s="11">
        <v>45838</v>
      </c>
      <c r="H165" s="10" t="s">
        <v>20</v>
      </c>
      <c r="I165" s="10" t="s">
        <v>36</v>
      </c>
      <c r="J165" s="12"/>
      <c r="K165" s="12">
        <v>85770000000</v>
      </c>
      <c r="L165" s="12">
        <v>0</v>
      </c>
      <c r="M165" s="12"/>
      <c r="N165" s="12">
        <v>50000000000</v>
      </c>
      <c r="O165" s="12">
        <v>50000000000</v>
      </c>
      <c r="P165" s="12">
        <v>98656000000</v>
      </c>
      <c r="Q165" s="12">
        <v>78328000000</v>
      </c>
      <c r="R165" s="12">
        <v>78328000000</v>
      </c>
      <c r="S165" s="12"/>
      <c r="T165" s="12"/>
      <c r="U165" s="12">
        <v>391082000000</v>
      </c>
      <c r="V165" s="12">
        <v>391600000000</v>
      </c>
      <c r="W165" s="10"/>
      <c r="X165" s="13"/>
      <c r="Y165" s="10"/>
      <c r="Z165" s="13"/>
      <c r="AA165" s="13"/>
    </row>
    <row r="166" spans="1:27" x14ac:dyDescent="0.25">
      <c r="A166" s="10" t="s">
        <v>424</v>
      </c>
      <c r="B166" s="10"/>
      <c r="C166" s="10"/>
      <c r="D166" s="10" t="s">
        <v>443</v>
      </c>
      <c r="E166" s="10" t="s">
        <v>19</v>
      </c>
      <c r="F166" s="11">
        <v>43837</v>
      </c>
      <c r="G166" s="11"/>
      <c r="H166" s="10" t="s">
        <v>20</v>
      </c>
      <c r="I166" s="10" t="s">
        <v>21</v>
      </c>
      <c r="J166" s="12">
        <v>0</v>
      </c>
      <c r="K166" s="12">
        <v>6160000000</v>
      </c>
      <c r="L166" s="12"/>
      <c r="M166" s="12"/>
      <c r="N166" s="12">
        <v>6560000000</v>
      </c>
      <c r="O166" s="12">
        <v>6560000000</v>
      </c>
      <c r="P166" s="12">
        <v>40000000000</v>
      </c>
      <c r="Q166" s="12">
        <v>38000000000</v>
      </c>
      <c r="R166" s="12">
        <v>14250000000</v>
      </c>
      <c r="S166" s="12"/>
      <c r="T166" s="12"/>
      <c r="U166" s="12">
        <v>104970000000</v>
      </c>
      <c r="V166" s="12">
        <v>105000000000</v>
      </c>
      <c r="W166" s="10"/>
      <c r="X166" s="13"/>
      <c r="Y166" s="10"/>
      <c r="Z166" s="13"/>
      <c r="AA166" s="13"/>
    </row>
    <row r="167" spans="1:27" x14ac:dyDescent="0.25">
      <c r="A167" s="10" t="s">
        <v>424</v>
      </c>
      <c r="B167" s="10"/>
      <c r="C167" s="10"/>
      <c r="D167" s="10" t="s">
        <v>444</v>
      </c>
      <c r="E167" s="10" t="s">
        <v>19</v>
      </c>
      <c r="F167" s="11">
        <v>43837</v>
      </c>
      <c r="G167" s="11"/>
      <c r="H167" s="10" t="s">
        <v>20</v>
      </c>
      <c r="I167" s="10" t="s">
        <v>36</v>
      </c>
      <c r="J167" s="12">
        <v>0</v>
      </c>
      <c r="K167" s="12">
        <v>2600000000</v>
      </c>
      <c r="L167" s="12"/>
      <c r="M167" s="12"/>
      <c r="N167" s="12">
        <v>6600000000</v>
      </c>
      <c r="O167" s="12">
        <v>6600000000</v>
      </c>
      <c r="P167" s="12">
        <v>34160000000</v>
      </c>
      <c r="Q167" s="12">
        <v>29000000000</v>
      </c>
      <c r="R167" s="12">
        <v>25155000000</v>
      </c>
      <c r="S167" s="12"/>
      <c r="T167" s="12"/>
      <c r="U167" s="12">
        <v>97515000000</v>
      </c>
      <c r="V167" s="12">
        <v>97515000000</v>
      </c>
      <c r="W167" s="10"/>
      <c r="X167" s="13"/>
      <c r="Y167" s="10"/>
      <c r="Z167" s="13"/>
      <c r="AA167" s="13"/>
    </row>
    <row r="168" spans="1:27" x14ac:dyDescent="0.25">
      <c r="A168" s="10" t="s">
        <v>424</v>
      </c>
      <c r="B168" s="10"/>
      <c r="C168" s="10"/>
      <c r="D168" s="10" t="s">
        <v>444</v>
      </c>
      <c r="E168" s="10" t="s">
        <v>25</v>
      </c>
      <c r="F168" s="11">
        <v>43837</v>
      </c>
      <c r="G168" s="11"/>
      <c r="H168" s="10" t="s">
        <v>20</v>
      </c>
      <c r="I168" s="10" t="s">
        <v>36</v>
      </c>
      <c r="J168" s="12">
        <v>0</v>
      </c>
      <c r="K168" s="12">
        <v>16310000000</v>
      </c>
      <c r="L168" s="12"/>
      <c r="M168" s="12"/>
      <c r="N168" s="12">
        <v>21584000000</v>
      </c>
      <c r="O168" s="12">
        <v>21584000000</v>
      </c>
      <c r="P168" s="12">
        <v>20696700000</v>
      </c>
      <c r="Q168" s="12">
        <v>16932377500</v>
      </c>
      <c r="R168" s="12">
        <v>12811922500</v>
      </c>
      <c r="S168" s="12"/>
      <c r="T168" s="12"/>
      <c r="U168" s="12">
        <v>88335000000</v>
      </c>
      <c r="V168" s="12">
        <v>88335000000</v>
      </c>
      <c r="W168" s="10" t="s">
        <v>430</v>
      </c>
      <c r="X168" s="13"/>
      <c r="Y168" s="10"/>
      <c r="Z168" s="13"/>
      <c r="AA168" s="13"/>
    </row>
    <row r="169" spans="1:27" x14ac:dyDescent="0.25">
      <c r="A169" s="10" t="s">
        <v>424</v>
      </c>
      <c r="B169" s="10"/>
      <c r="C169" s="10"/>
      <c r="D169" s="10" t="s">
        <v>445</v>
      </c>
      <c r="E169" s="10" t="s">
        <v>19</v>
      </c>
      <c r="F169" s="11">
        <v>44203</v>
      </c>
      <c r="G169" s="11"/>
      <c r="H169" s="10" t="s">
        <v>40</v>
      </c>
      <c r="I169" s="10" t="s">
        <v>36</v>
      </c>
      <c r="J169" s="12">
        <v>0</v>
      </c>
      <c r="K169" s="12">
        <v>0</v>
      </c>
      <c r="L169" s="12">
        <v>0</v>
      </c>
      <c r="M169" s="12"/>
      <c r="N169" s="12">
        <v>80920000000</v>
      </c>
      <c r="O169" s="12">
        <v>80920000000</v>
      </c>
      <c r="P169" s="12">
        <v>147340000000</v>
      </c>
      <c r="Q169" s="12">
        <v>114990000000</v>
      </c>
      <c r="R169" s="12">
        <v>114990000000</v>
      </c>
      <c r="S169" s="12">
        <v>114120000000</v>
      </c>
      <c r="T169" s="12"/>
      <c r="U169" s="12">
        <v>572360000000</v>
      </c>
      <c r="V169" s="12">
        <v>572360000000</v>
      </c>
      <c r="W169" s="10" t="s">
        <v>446</v>
      </c>
      <c r="X169" s="13"/>
      <c r="Y169" s="10"/>
      <c r="Z169" s="13"/>
      <c r="AA169" s="13"/>
    </row>
    <row r="170" spans="1:27" x14ac:dyDescent="0.25">
      <c r="A170" s="10" t="s">
        <v>424</v>
      </c>
      <c r="B170" s="10"/>
      <c r="C170" s="10"/>
      <c r="D170" s="10" t="s">
        <v>447</v>
      </c>
      <c r="E170" s="10" t="s">
        <v>19</v>
      </c>
      <c r="F170" s="11">
        <v>44203</v>
      </c>
      <c r="G170" s="11"/>
      <c r="H170" s="10" t="s">
        <v>40</v>
      </c>
      <c r="I170" s="10" t="s">
        <v>36</v>
      </c>
      <c r="J170" s="12">
        <v>0</v>
      </c>
      <c r="K170" s="12">
        <v>0</v>
      </c>
      <c r="L170" s="12">
        <v>0</v>
      </c>
      <c r="M170" s="12"/>
      <c r="N170" s="12">
        <v>14100000000</v>
      </c>
      <c r="O170" s="12">
        <v>14100000000</v>
      </c>
      <c r="P170" s="12">
        <v>87443936312</v>
      </c>
      <c r="Q170" s="12">
        <v>50771968156</v>
      </c>
      <c r="R170" s="12">
        <v>50771968156</v>
      </c>
      <c r="S170" s="12">
        <v>50771968156</v>
      </c>
      <c r="T170" s="12"/>
      <c r="U170" s="12">
        <v>253859840781</v>
      </c>
      <c r="V170" s="12">
        <v>253859840781</v>
      </c>
      <c r="W170" s="10" t="s">
        <v>446</v>
      </c>
      <c r="X170" s="13"/>
      <c r="Y170" s="10"/>
      <c r="Z170" s="13"/>
      <c r="AA170" s="13"/>
    </row>
    <row r="171" spans="1:27" x14ac:dyDescent="0.25">
      <c r="A171" s="10" t="s">
        <v>448</v>
      </c>
      <c r="B171" s="10"/>
      <c r="C171" s="10"/>
      <c r="D171" s="10" t="s">
        <v>449</v>
      </c>
      <c r="E171" s="10" t="s">
        <v>19</v>
      </c>
      <c r="F171" s="11">
        <v>44013</v>
      </c>
      <c r="G171" s="11">
        <v>45838</v>
      </c>
      <c r="H171" s="10" t="s">
        <v>450</v>
      </c>
      <c r="I171" s="10" t="s">
        <v>21</v>
      </c>
      <c r="J171" s="12">
        <v>0</v>
      </c>
      <c r="K171" s="12">
        <v>11652915228</v>
      </c>
      <c r="L171" s="12">
        <v>0</v>
      </c>
      <c r="M171" s="12">
        <v>0</v>
      </c>
      <c r="N171" s="12">
        <v>11652915228</v>
      </c>
      <c r="O171" s="12">
        <v>11652915228</v>
      </c>
      <c r="P171" s="12">
        <v>11652915228</v>
      </c>
      <c r="Q171" s="12">
        <v>11652915228</v>
      </c>
      <c r="R171" s="12">
        <v>11652915228</v>
      </c>
      <c r="S171" s="12">
        <v>0</v>
      </c>
      <c r="T171" s="12">
        <v>0</v>
      </c>
      <c r="U171" s="12">
        <v>58264576140</v>
      </c>
      <c r="V171" s="12"/>
      <c r="W171" s="10" t="s">
        <v>451</v>
      </c>
      <c r="X171" s="13"/>
      <c r="Y171" s="10" t="s">
        <v>23</v>
      </c>
      <c r="Z171" s="13"/>
      <c r="AA171" s="13"/>
    </row>
    <row r="172" spans="1:27" x14ac:dyDescent="0.25">
      <c r="A172" s="10" t="s">
        <v>452</v>
      </c>
      <c r="B172" s="10"/>
      <c r="C172" s="10"/>
      <c r="D172" s="10" t="s">
        <v>453</v>
      </c>
      <c r="E172" s="10" t="s">
        <v>19</v>
      </c>
      <c r="F172" s="11">
        <v>44013</v>
      </c>
      <c r="G172" s="11">
        <v>45838</v>
      </c>
      <c r="H172" s="10" t="s">
        <v>20</v>
      </c>
      <c r="I172" s="10" t="s">
        <v>21</v>
      </c>
      <c r="J172" s="12"/>
      <c r="K172" s="12">
        <v>155000000</v>
      </c>
      <c r="L172" s="12">
        <v>60000000</v>
      </c>
      <c r="M172" s="12">
        <v>0</v>
      </c>
      <c r="N172" s="12">
        <v>4091000000</v>
      </c>
      <c r="O172" s="12">
        <v>4744000000</v>
      </c>
      <c r="P172" s="12">
        <v>4192000000</v>
      </c>
      <c r="Q172" s="12">
        <v>2551000000</v>
      </c>
      <c r="R172" s="12">
        <v>2873000000</v>
      </c>
      <c r="S172" s="12">
        <v>0</v>
      </c>
      <c r="T172" s="12">
        <v>0</v>
      </c>
      <c r="U172" s="12">
        <v>14515000000</v>
      </c>
      <c r="V172" s="12"/>
      <c r="W172" s="10" t="s">
        <v>454</v>
      </c>
      <c r="X172" s="13"/>
      <c r="Y172" s="10" t="s">
        <v>23</v>
      </c>
      <c r="Z172" s="13"/>
      <c r="AA172" s="13"/>
    </row>
    <row r="173" spans="1:27" x14ac:dyDescent="0.25">
      <c r="A173" s="10" t="s">
        <v>452</v>
      </c>
      <c r="B173" s="10"/>
      <c r="C173" s="10"/>
      <c r="D173" s="14" t="s">
        <v>368</v>
      </c>
      <c r="E173" s="10"/>
      <c r="F173" s="11"/>
      <c r="G173" s="11"/>
      <c r="H173" s="10"/>
      <c r="I173" s="10"/>
      <c r="J173" s="12"/>
      <c r="K173" s="12"/>
      <c r="L173" s="12"/>
      <c r="M173" s="12"/>
      <c r="N173" s="12">
        <v>4</v>
      </c>
      <c r="O173" s="12">
        <v>4</v>
      </c>
      <c r="P173" s="12"/>
      <c r="Q173" s="12"/>
      <c r="R173" s="12"/>
      <c r="S173" s="12">
        <v>0</v>
      </c>
      <c r="T173" s="12">
        <v>0</v>
      </c>
      <c r="U173" s="12">
        <v>4</v>
      </c>
      <c r="V173" s="12"/>
      <c r="W173" s="10"/>
      <c r="X173" s="13"/>
      <c r="Y173" s="10" t="s">
        <v>28</v>
      </c>
      <c r="Z173" s="13"/>
      <c r="AA173" s="13"/>
    </row>
    <row r="174" spans="1:27" x14ac:dyDescent="0.25">
      <c r="A174" s="10" t="s">
        <v>452</v>
      </c>
      <c r="B174" s="10"/>
      <c r="C174" s="10"/>
      <c r="D174" s="10" t="s">
        <v>369</v>
      </c>
      <c r="E174" s="10"/>
      <c r="F174" s="11"/>
      <c r="G174" s="11"/>
      <c r="H174" s="10"/>
      <c r="I174" s="10"/>
      <c r="J174" s="12"/>
      <c r="K174" s="12"/>
      <c r="L174" s="12"/>
      <c r="M174" s="12"/>
      <c r="N174" s="12">
        <v>4</v>
      </c>
      <c r="O174" s="12">
        <v>4</v>
      </c>
      <c r="P174" s="12"/>
      <c r="Q174" s="12"/>
      <c r="R174" s="12"/>
      <c r="S174" s="12">
        <v>0</v>
      </c>
      <c r="T174" s="12">
        <v>0</v>
      </c>
      <c r="U174" s="12">
        <v>4</v>
      </c>
      <c r="V174" s="12"/>
      <c r="W174" s="10"/>
      <c r="X174" s="13"/>
      <c r="Y174" s="10"/>
      <c r="Z174" s="13"/>
      <c r="AA174" s="13"/>
    </row>
    <row r="175" spans="1:27" x14ac:dyDescent="0.25">
      <c r="A175" s="10" t="s">
        <v>452</v>
      </c>
      <c r="B175" s="10"/>
      <c r="C175" s="10"/>
      <c r="D175" s="10" t="s">
        <v>370</v>
      </c>
      <c r="E175" s="10"/>
      <c r="F175" s="11"/>
      <c r="G175" s="11"/>
      <c r="H175" s="10"/>
      <c r="I175" s="10"/>
      <c r="J175" s="12"/>
      <c r="K175" s="12"/>
      <c r="L175" s="12"/>
      <c r="M175" s="12"/>
      <c r="N175" s="12">
        <v>4</v>
      </c>
      <c r="O175" s="12">
        <v>4</v>
      </c>
      <c r="P175" s="12">
        <v>0</v>
      </c>
      <c r="Q175" s="12">
        <v>0</v>
      </c>
      <c r="R175" s="12">
        <v>0</v>
      </c>
      <c r="S175" s="12">
        <v>0</v>
      </c>
      <c r="T175" s="12">
        <v>0</v>
      </c>
      <c r="U175" s="12">
        <v>4</v>
      </c>
      <c r="V175" s="12"/>
      <c r="W175" s="10"/>
      <c r="X175" s="13"/>
      <c r="Y175" s="10"/>
      <c r="Z175" s="13"/>
      <c r="AA175" s="13"/>
    </row>
    <row r="176" spans="1:27" x14ac:dyDescent="0.25">
      <c r="A176" s="10" t="s">
        <v>455</v>
      </c>
      <c r="B176" s="10"/>
      <c r="C176" s="10"/>
      <c r="D176" s="10" t="s">
        <v>456</v>
      </c>
      <c r="E176" s="10" t="s">
        <v>19</v>
      </c>
      <c r="F176" s="11">
        <v>42011</v>
      </c>
      <c r="G176" s="11">
        <v>44742</v>
      </c>
      <c r="H176" s="10" t="s">
        <v>20</v>
      </c>
      <c r="I176" s="10" t="s">
        <v>36</v>
      </c>
      <c r="J176" s="12">
        <v>38178000000</v>
      </c>
      <c r="K176" s="12">
        <v>5000000000</v>
      </c>
      <c r="L176" s="12">
        <v>4060000000</v>
      </c>
      <c r="M176" s="12"/>
      <c r="N176" s="12">
        <v>10000000000</v>
      </c>
      <c r="O176" s="12">
        <v>14060000000</v>
      </c>
      <c r="P176" s="12">
        <v>0</v>
      </c>
      <c r="Q176" s="12">
        <v>0</v>
      </c>
      <c r="R176" s="12">
        <v>0</v>
      </c>
      <c r="S176" s="12">
        <v>0</v>
      </c>
      <c r="T176" s="12">
        <v>0</v>
      </c>
      <c r="U176" s="12">
        <v>57238000000</v>
      </c>
      <c r="V176" s="12"/>
      <c r="W176" s="10" t="s">
        <v>457</v>
      </c>
      <c r="X176" s="13"/>
      <c r="Y176" s="10" t="s">
        <v>23</v>
      </c>
      <c r="Z176" s="13"/>
      <c r="AA176" s="13"/>
    </row>
    <row r="177" spans="1:27" x14ac:dyDescent="0.25">
      <c r="A177" s="10" t="s">
        <v>455</v>
      </c>
      <c r="B177" s="10"/>
      <c r="C177" s="10"/>
      <c r="D177" s="10" t="s">
        <v>458</v>
      </c>
      <c r="E177" s="10" t="s">
        <v>19</v>
      </c>
      <c r="F177" s="11">
        <v>41646</v>
      </c>
      <c r="G177" s="11">
        <v>44742</v>
      </c>
      <c r="H177" s="10" t="s">
        <v>20</v>
      </c>
      <c r="I177" s="10" t="s">
        <v>36</v>
      </c>
      <c r="J177" s="12">
        <v>9150000000</v>
      </c>
      <c r="K177" s="12">
        <v>2700000000</v>
      </c>
      <c r="L177" s="12">
        <v>0</v>
      </c>
      <c r="M177" s="12">
        <v>0</v>
      </c>
      <c r="N177" s="12">
        <v>2700000000</v>
      </c>
      <c r="O177" s="12">
        <v>2700000000</v>
      </c>
      <c r="P177" s="12">
        <v>0</v>
      </c>
      <c r="Q177" s="12">
        <v>0</v>
      </c>
      <c r="R177" s="12">
        <v>0</v>
      </c>
      <c r="S177" s="12">
        <v>0</v>
      </c>
      <c r="T177" s="12"/>
      <c r="U177" s="12">
        <v>14550000000</v>
      </c>
      <c r="V177" s="12"/>
      <c r="W177" s="10"/>
      <c r="X177" s="13"/>
      <c r="Y177" s="10" t="s">
        <v>28</v>
      </c>
      <c r="Z177" s="13"/>
      <c r="AA177" s="13"/>
    </row>
    <row r="178" spans="1:27" x14ac:dyDescent="0.25">
      <c r="A178" s="10" t="s">
        <v>455</v>
      </c>
      <c r="B178" s="10"/>
      <c r="C178" s="10"/>
      <c r="D178" s="10" t="s">
        <v>353</v>
      </c>
      <c r="E178" s="10" t="s">
        <v>25</v>
      </c>
      <c r="F178" s="11">
        <v>41646</v>
      </c>
      <c r="G178" s="11">
        <v>44742</v>
      </c>
      <c r="H178" s="10" t="s">
        <v>20</v>
      </c>
      <c r="I178" s="10" t="s">
        <v>36</v>
      </c>
      <c r="J178" s="12">
        <v>76059382500</v>
      </c>
      <c r="K178" s="12">
        <v>41330000000</v>
      </c>
      <c r="L178" s="12">
        <v>0</v>
      </c>
      <c r="M178" s="12">
        <v>0</v>
      </c>
      <c r="N178" s="12">
        <v>17764953750</v>
      </c>
      <c r="O178" s="12">
        <v>17764953750</v>
      </c>
      <c r="P178" s="12">
        <v>0</v>
      </c>
      <c r="Q178" s="12">
        <v>0</v>
      </c>
      <c r="R178" s="12">
        <v>0</v>
      </c>
      <c r="S178" s="12">
        <v>0</v>
      </c>
      <c r="T178" s="12">
        <v>0</v>
      </c>
      <c r="U178" s="12">
        <v>135154336250</v>
      </c>
      <c r="V178" s="12"/>
      <c r="W178" s="10"/>
      <c r="X178" s="13"/>
      <c r="Y178" s="10"/>
      <c r="Z178" s="13"/>
      <c r="AA178" s="13"/>
    </row>
    <row r="179" spans="1:27" x14ac:dyDescent="0.25">
      <c r="A179" s="10" t="s">
        <v>455</v>
      </c>
      <c r="B179" s="10"/>
      <c r="C179" s="10"/>
      <c r="D179" s="10" t="s">
        <v>353</v>
      </c>
      <c r="E179" s="10" t="s">
        <v>19</v>
      </c>
      <c r="F179" s="11">
        <v>41646</v>
      </c>
      <c r="G179" s="11">
        <v>44742</v>
      </c>
      <c r="H179" s="10" t="s">
        <v>20</v>
      </c>
      <c r="I179" s="10" t="s">
        <v>36</v>
      </c>
      <c r="J179" s="12">
        <v>6361243705</v>
      </c>
      <c r="K179" s="12">
        <v>2950000000</v>
      </c>
      <c r="L179" s="12">
        <v>0</v>
      </c>
      <c r="M179" s="12">
        <v>0</v>
      </c>
      <c r="N179" s="12">
        <v>838756295</v>
      </c>
      <c r="O179" s="12">
        <v>838756295</v>
      </c>
      <c r="P179" s="12">
        <v>0</v>
      </c>
      <c r="Q179" s="12">
        <v>0</v>
      </c>
      <c r="R179" s="12">
        <v>0</v>
      </c>
      <c r="S179" s="12">
        <v>0</v>
      </c>
      <c r="T179" s="12">
        <v>0</v>
      </c>
      <c r="U179" s="12">
        <v>10150000000</v>
      </c>
      <c r="V179" s="12"/>
      <c r="W179" s="10" t="s">
        <v>459</v>
      </c>
      <c r="X179" s="13"/>
      <c r="Y179" s="10"/>
      <c r="Z179" s="13"/>
      <c r="AA179" s="13"/>
    </row>
    <row r="180" spans="1:27" x14ac:dyDescent="0.25">
      <c r="A180" s="10" t="s">
        <v>455</v>
      </c>
      <c r="B180" s="10"/>
      <c r="C180" s="10"/>
      <c r="D180" s="10" t="s">
        <v>460</v>
      </c>
      <c r="E180" s="10" t="s">
        <v>19</v>
      </c>
      <c r="F180" s="11">
        <v>42011</v>
      </c>
      <c r="G180" s="11">
        <v>44742</v>
      </c>
      <c r="H180" s="10" t="s">
        <v>20</v>
      </c>
      <c r="I180" s="10" t="s">
        <v>36</v>
      </c>
      <c r="J180" s="12">
        <v>15370000000</v>
      </c>
      <c r="K180" s="12">
        <v>0</v>
      </c>
      <c r="L180" s="12">
        <v>0</v>
      </c>
      <c r="M180" s="12">
        <v>0</v>
      </c>
      <c r="N180" s="12">
        <v>0</v>
      </c>
      <c r="O180" s="12"/>
      <c r="P180" s="12">
        <v>0</v>
      </c>
      <c r="Q180" s="12">
        <v>0</v>
      </c>
      <c r="R180" s="12">
        <v>0</v>
      </c>
      <c r="S180" s="12">
        <v>0</v>
      </c>
      <c r="T180" s="12"/>
      <c r="U180" s="12">
        <v>15370000000</v>
      </c>
      <c r="V180" s="12"/>
      <c r="W180" s="10"/>
      <c r="X180" s="13"/>
      <c r="Y180" s="10"/>
      <c r="Z180" s="13"/>
      <c r="AA180" s="13"/>
    </row>
    <row r="181" spans="1:27" x14ac:dyDescent="0.25">
      <c r="A181" s="10" t="s">
        <v>455</v>
      </c>
      <c r="B181" s="10"/>
      <c r="C181" s="10"/>
      <c r="D181" s="10" t="s">
        <v>460</v>
      </c>
      <c r="E181" s="10" t="s">
        <v>25</v>
      </c>
      <c r="F181" s="11">
        <v>42011</v>
      </c>
      <c r="G181" s="11">
        <v>44742</v>
      </c>
      <c r="H181" s="10" t="s">
        <v>20</v>
      </c>
      <c r="I181" s="10" t="s">
        <v>36</v>
      </c>
      <c r="J181" s="12">
        <v>192501000000</v>
      </c>
      <c r="K181" s="12">
        <v>58820000000</v>
      </c>
      <c r="L181" s="12">
        <v>0</v>
      </c>
      <c r="M181" s="12"/>
      <c r="N181" s="12">
        <v>89938286250</v>
      </c>
      <c r="O181" s="12">
        <v>89938286250</v>
      </c>
      <c r="P181" s="12">
        <v>0</v>
      </c>
      <c r="Q181" s="12">
        <v>0</v>
      </c>
      <c r="R181" s="12">
        <v>0</v>
      </c>
      <c r="S181" s="12"/>
      <c r="T181" s="12"/>
      <c r="U181" s="12">
        <v>341259286250</v>
      </c>
      <c r="V181" s="12"/>
      <c r="W181" s="10" t="s">
        <v>459</v>
      </c>
      <c r="X181" s="13"/>
      <c r="Y181" s="10"/>
      <c r="Z181" s="13"/>
      <c r="AA181" s="13"/>
    </row>
    <row r="182" spans="1:27" x14ac:dyDescent="0.25">
      <c r="A182" s="10" t="s">
        <v>455</v>
      </c>
      <c r="B182" s="10"/>
      <c r="C182" s="10"/>
      <c r="D182" s="10" t="s">
        <v>461</v>
      </c>
      <c r="E182" s="10" t="s">
        <v>19</v>
      </c>
      <c r="F182" s="11">
        <v>44203</v>
      </c>
      <c r="G182" s="11">
        <v>44742</v>
      </c>
      <c r="H182" s="10" t="s">
        <v>20</v>
      </c>
      <c r="I182" s="10" t="s">
        <v>36</v>
      </c>
      <c r="J182" s="12">
        <v>40314000000</v>
      </c>
      <c r="K182" s="12">
        <v>14870000000</v>
      </c>
      <c r="L182" s="12">
        <v>5200000000</v>
      </c>
      <c r="M182" s="12">
        <v>0</v>
      </c>
      <c r="N182" s="12">
        <v>14870000000</v>
      </c>
      <c r="O182" s="12">
        <v>20070000000</v>
      </c>
      <c r="P182" s="12">
        <v>0</v>
      </c>
      <c r="Q182" s="12">
        <v>0</v>
      </c>
      <c r="R182" s="12">
        <v>0</v>
      </c>
      <c r="S182" s="12">
        <v>0</v>
      </c>
      <c r="T182" s="12"/>
      <c r="U182" s="12">
        <v>75254000000</v>
      </c>
      <c r="V182" s="12"/>
      <c r="W182" s="10" t="s">
        <v>462</v>
      </c>
      <c r="X182" s="13"/>
      <c r="Y182" s="10"/>
      <c r="Z182" s="13"/>
      <c r="AA182" s="13"/>
    </row>
    <row r="183" spans="1:27" x14ac:dyDescent="0.25">
      <c r="A183" s="10" t="s">
        <v>455</v>
      </c>
      <c r="B183" s="10"/>
      <c r="C183" s="10"/>
      <c r="D183" s="10" t="s">
        <v>463</v>
      </c>
      <c r="E183" s="10" t="s">
        <v>19</v>
      </c>
      <c r="F183" s="11">
        <v>43107</v>
      </c>
      <c r="G183" s="11">
        <v>44742</v>
      </c>
      <c r="H183" s="10" t="s">
        <v>20</v>
      </c>
      <c r="I183" s="10" t="s">
        <v>36</v>
      </c>
      <c r="J183" s="12">
        <v>40464000000</v>
      </c>
      <c r="K183" s="12">
        <v>10980000000</v>
      </c>
      <c r="L183" s="12">
        <v>2803278594</v>
      </c>
      <c r="M183" s="12">
        <v>0</v>
      </c>
      <c r="N183" s="12">
        <v>10980000000</v>
      </c>
      <c r="O183" s="12">
        <v>13783278594</v>
      </c>
      <c r="P183" s="12">
        <v>0</v>
      </c>
      <c r="Q183" s="12">
        <v>0</v>
      </c>
      <c r="R183" s="12">
        <v>0</v>
      </c>
      <c r="S183" s="12">
        <v>0</v>
      </c>
      <c r="T183" s="12"/>
      <c r="U183" s="12">
        <v>65227278594</v>
      </c>
      <c r="V183" s="12"/>
      <c r="W183" s="10"/>
      <c r="X183" s="13"/>
      <c r="Y183" s="10"/>
      <c r="Z183" s="13"/>
      <c r="AA183" s="13"/>
    </row>
    <row r="184" spans="1:27" x14ac:dyDescent="0.25">
      <c r="A184" s="10" t="s">
        <v>455</v>
      </c>
      <c r="B184" s="10"/>
      <c r="C184" s="10"/>
      <c r="D184" s="14" t="s">
        <v>464</v>
      </c>
      <c r="E184" s="10" t="s">
        <v>19</v>
      </c>
      <c r="F184" s="11">
        <v>44203</v>
      </c>
      <c r="G184" s="11">
        <v>45838</v>
      </c>
      <c r="H184" s="10" t="s">
        <v>20</v>
      </c>
      <c r="I184" s="10" t="s">
        <v>465</v>
      </c>
      <c r="J184" s="12">
        <v>8340000000</v>
      </c>
      <c r="K184" s="12">
        <v>10430000000</v>
      </c>
      <c r="L184" s="12">
        <v>0</v>
      </c>
      <c r="M184" s="12">
        <v>0</v>
      </c>
      <c r="N184" s="12">
        <v>4050000000</v>
      </c>
      <c r="O184" s="12">
        <v>4050000000</v>
      </c>
      <c r="P184" s="12">
        <v>4050000000</v>
      </c>
      <c r="Q184" s="12">
        <v>4050000000</v>
      </c>
      <c r="R184" s="12">
        <v>4050000000</v>
      </c>
      <c r="S184" s="12"/>
      <c r="T184" s="12"/>
      <c r="U184" s="12">
        <v>34970000000</v>
      </c>
      <c r="V184" s="12"/>
      <c r="W184" s="10"/>
      <c r="X184" s="13"/>
      <c r="Y184" s="10"/>
      <c r="Z184" s="13"/>
      <c r="AA184" s="13"/>
    </row>
    <row r="185" spans="1:27" x14ac:dyDescent="0.25">
      <c r="A185" s="10" t="s">
        <v>455</v>
      </c>
      <c r="B185" s="10"/>
      <c r="C185" s="10"/>
      <c r="D185" s="14" t="s">
        <v>466</v>
      </c>
      <c r="E185" s="10" t="s">
        <v>25</v>
      </c>
      <c r="F185" s="11">
        <v>43472</v>
      </c>
      <c r="G185" s="11">
        <v>45298</v>
      </c>
      <c r="H185" s="10" t="s">
        <v>20</v>
      </c>
      <c r="I185" s="10" t="s">
        <v>36</v>
      </c>
      <c r="J185" s="12">
        <v>23100000000</v>
      </c>
      <c r="K185" s="12">
        <v>38380000000</v>
      </c>
      <c r="L185" s="12"/>
      <c r="M185" s="12"/>
      <c r="N185" s="12">
        <v>7430000000</v>
      </c>
      <c r="O185" s="12">
        <v>7430000000</v>
      </c>
      <c r="P185" s="12">
        <v>43520000000</v>
      </c>
      <c r="Q185" s="12">
        <v>52430000000</v>
      </c>
      <c r="R185" s="12">
        <v>0</v>
      </c>
      <c r="S185" s="12"/>
      <c r="T185" s="12"/>
      <c r="U185" s="12">
        <v>164860000000</v>
      </c>
      <c r="V185" s="12"/>
      <c r="W185" s="10"/>
      <c r="X185" s="13"/>
      <c r="Y185" s="10"/>
      <c r="Z185" s="13"/>
      <c r="AA185" s="13"/>
    </row>
    <row r="186" spans="1:27" x14ac:dyDescent="0.25">
      <c r="A186" s="10" t="s">
        <v>455</v>
      </c>
      <c r="B186" s="10"/>
      <c r="C186" s="10"/>
      <c r="D186" s="14" t="s">
        <v>466</v>
      </c>
      <c r="E186" s="10" t="s">
        <v>19</v>
      </c>
      <c r="F186" s="11">
        <v>43472</v>
      </c>
      <c r="G186" s="11">
        <v>45298</v>
      </c>
      <c r="H186" s="10" t="s">
        <v>20</v>
      </c>
      <c r="I186" s="10" t="s">
        <v>36</v>
      </c>
      <c r="J186" s="12">
        <v>60000000</v>
      </c>
      <c r="K186" s="12">
        <v>0</v>
      </c>
      <c r="L186" s="12"/>
      <c r="M186" s="12"/>
      <c r="N186" s="12">
        <v>2100000000</v>
      </c>
      <c r="O186" s="12">
        <v>2100000000</v>
      </c>
      <c r="P186" s="12">
        <v>6500000000</v>
      </c>
      <c r="Q186" s="12">
        <v>9120000000</v>
      </c>
      <c r="R186" s="12">
        <v>0</v>
      </c>
      <c r="S186" s="12">
        <v>0</v>
      </c>
      <c r="T186" s="12"/>
      <c r="U186" s="12">
        <v>17780000000</v>
      </c>
      <c r="V186" s="12"/>
      <c r="W186" s="10"/>
      <c r="X186" s="13"/>
      <c r="Y186" s="10"/>
      <c r="Z186" s="13"/>
      <c r="AA186" s="13"/>
    </row>
    <row r="187" spans="1:27" x14ac:dyDescent="0.25">
      <c r="A187" s="10" t="s">
        <v>455</v>
      </c>
      <c r="B187" s="10"/>
      <c r="C187" s="10"/>
      <c r="D187" s="10" t="s">
        <v>467</v>
      </c>
      <c r="E187" s="10" t="s">
        <v>25</v>
      </c>
      <c r="F187" s="11">
        <v>42742</v>
      </c>
      <c r="G187" s="11">
        <v>44742</v>
      </c>
      <c r="H187" s="10" t="s">
        <v>20</v>
      </c>
      <c r="I187" s="10" t="s">
        <v>36</v>
      </c>
      <c r="J187" s="12">
        <v>8610000000</v>
      </c>
      <c r="K187" s="12">
        <v>29240000000</v>
      </c>
      <c r="L187" s="12"/>
      <c r="M187" s="12"/>
      <c r="N187" s="12">
        <v>58060000000</v>
      </c>
      <c r="O187" s="12">
        <v>58060000000</v>
      </c>
      <c r="P187" s="12">
        <v>0</v>
      </c>
      <c r="Q187" s="12">
        <v>0</v>
      </c>
      <c r="R187" s="12">
        <v>0</v>
      </c>
      <c r="S187" s="12"/>
      <c r="T187" s="12"/>
      <c r="U187" s="12">
        <v>95910000000</v>
      </c>
      <c r="V187" s="12"/>
      <c r="W187" s="10"/>
      <c r="X187" s="13"/>
      <c r="Y187" s="10"/>
      <c r="Z187" s="13"/>
      <c r="AA187" s="13"/>
    </row>
    <row r="188" spans="1:27" x14ac:dyDescent="0.25">
      <c r="A188" s="10" t="s">
        <v>455</v>
      </c>
      <c r="B188" s="10"/>
      <c r="C188" s="10"/>
      <c r="D188" s="10" t="s">
        <v>467</v>
      </c>
      <c r="E188" s="10" t="s">
        <v>19</v>
      </c>
      <c r="F188" s="11">
        <v>42773</v>
      </c>
      <c r="G188" s="11">
        <v>44568</v>
      </c>
      <c r="H188" s="10" t="s">
        <v>20</v>
      </c>
      <c r="I188" s="10" t="s">
        <v>36</v>
      </c>
      <c r="J188" s="12">
        <v>15490000000</v>
      </c>
      <c r="K188" s="12">
        <v>0</v>
      </c>
      <c r="L188" s="12">
        <v>0</v>
      </c>
      <c r="M188" s="12">
        <v>0</v>
      </c>
      <c r="N188" s="12">
        <v>0</v>
      </c>
      <c r="O188" s="12">
        <v>0</v>
      </c>
      <c r="P188" s="12">
        <v>0</v>
      </c>
      <c r="Q188" s="12">
        <v>0</v>
      </c>
      <c r="R188" s="12">
        <v>0</v>
      </c>
      <c r="S188" s="12"/>
      <c r="T188" s="12"/>
      <c r="U188" s="12">
        <v>15490000000</v>
      </c>
      <c r="V188" s="12"/>
      <c r="W188" s="10"/>
      <c r="X188" s="13"/>
      <c r="Y188" s="10"/>
      <c r="Z188" s="13"/>
      <c r="AA188" s="13"/>
    </row>
    <row r="189" spans="1:27" x14ac:dyDescent="0.25">
      <c r="A189" s="10" t="s">
        <v>455</v>
      </c>
      <c r="B189" s="10"/>
      <c r="C189" s="10"/>
      <c r="D189" s="10" t="s">
        <v>468</v>
      </c>
      <c r="E189" s="10" t="s">
        <v>25</v>
      </c>
      <c r="F189" s="11">
        <v>42376</v>
      </c>
      <c r="G189" s="11">
        <v>44834</v>
      </c>
      <c r="H189" s="10" t="s">
        <v>20</v>
      </c>
      <c r="I189" s="10" t="s">
        <v>36</v>
      </c>
      <c r="J189" s="12">
        <v>3790000000</v>
      </c>
      <c r="K189" s="12">
        <v>0</v>
      </c>
      <c r="L189" s="12"/>
      <c r="M189" s="12"/>
      <c r="N189" s="12"/>
      <c r="O189" s="12">
        <v>0</v>
      </c>
      <c r="P189" s="12">
        <v>0</v>
      </c>
      <c r="Q189" s="12">
        <v>0</v>
      </c>
      <c r="R189" s="12">
        <v>0</v>
      </c>
      <c r="S189" s="12"/>
      <c r="T189" s="12"/>
      <c r="U189" s="12">
        <v>3790000000</v>
      </c>
      <c r="V189" s="12"/>
      <c r="W189" s="10"/>
      <c r="X189" s="13"/>
      <c r="Y189" s="10"/>
      <c r="Z189" s="13"/>
      <c r="AA189" s="13"/>
    </row>
    <row r="190" spans="1:27" x14ac:dyDescent="0.25">
      <c r="A190" s="10" t="s">
        <v>455</v>
      </c>
      <c r="B190" s="10"/>
      <c r="C190" s="10"/>
      <c r="D190" s="10" t="s">
        <v>468</v>
      </c>
      <c r="E190" s="10" t="s">
        <v>19</v>
      </c>
      <c r="F190" s="11">
        <v>42376</v>
      </c>
      <c r="G190" s="11">
        <v>44834</v>
      </c>
      <c r="H190" s="10" t="s">
        <v>20</v>
      </c>
      <c r="I190" s="10" t="s">
        <v>36</v>
      </c>
      <c r="J190" s="12">
        <v>1430000000</v>
      </c>
      <c r="K190" s="12">
        <v>16550000000</v>
      </c>
      <c r="L190" s="12"/>
      <c r="M190" s="12"/>
      <c r="N190" s="12"/>
      <c r="O190" s="12">
        <v>0</v>
      </c>
      <c r="P190" s="12">
        <v>0</v>
      </c>
      <c r="Q190" s="12">
        <v>0</v>
      </c>
      <c r="R190" s="12">
        <v>0</v>
      </c>
      <c r="S190" s="12"/>
      <c r="T190" s="12"/>
      <c r="U190" s="12">
        <v>17980000000</v>
      </c>
      <c r="V190" s="12"/>
      <c r="W190" s="10" t="s">
        <v>469</v>
      </c>
      <c r="X190" s="13"/>
      <c r="Y190" s="10"/>
      <c r="Z190" s="13"/>
      <c r="AA190" s="13"/>
    </row>
    <row r="191" spans="1:27" x14ac:dyDescent="0.25">
      <c r="A191" s="10" t="s">
        <v>455</v>
      </c>
      <c r="B191" s="10"/>
      <c r="C191" s="10"/>
      <c r="D191" s="10" t="s">
        <v>470</v>
      </c>
      <c r="E191" s="10" t="s">
        <v>25</v>
      </c>
      <c r="F191" s="11">
        <v>42379</v>
      </c>
      <c r="G191" s="11">
        <v>44571</v>
      </c>
      <c r="H191" s="10" t="s">
        <v>20</v>
      </c>
      <c r="I191" s="10" t="s">
        <v>36</v>
      </c>
      <c r="J191" s="12">
        <v>190000000</v>
      </c>
      <c r="K191" s="12">
        <v>12740000000</v>
      </c>
      <c r="L191" s="12"/>
      <c r="M191" s="12"/>
      <c r="N191" s="12">
        <v>17490000000</v>
      </c>
      <c r="O191" s="12">
        <v>17490000000</v>
      </c>
      <c r="P191" s="12">
        <v>0</v>
      </c>
      <c r="Q191" s="12">
        <v>0</v>
      </c>
      <c r="R191" s="12">
        <v>0</v>
      </c>
      <c r="S191" s="12"/>
      <c r="T191" s="12"/>
      <c r="U191" s="12">
        <v>30420000000</v>
      </c>
      <c r="V191" s="12"/>
      <c r="W191" s="10"/>
      <c r="X191" s="13"/>
      <c r="Y191" s="10"/>
      <c r="Z191" s="13"/>
      <c r="AA191" s="13"/>
    </row>
    <row r="192" spans="1:27" x14ac:dyDescent="0.25">
      <c r="A192" s="10" t="s">
        <v>455</v>
      </c>
      <c r="B192" s="10"/>
      <c r="C192" s="10"/>
      <c r="D192" s="10" t="s">
        <v>470</v>
      </c>
      <c r="E192" s="10" t="s">
        <v>19</v>
      </c>
      <c r="F192" s="11">
        <v>42410</v>
      </c>
      <c r="G192" s="11">
        <v>44602</v>
      </c>
      <c r="H192" s="10" t="s">
        <v>20</v>
      </c>
      <c r="I192" s="10" t="s">
        <v>36</v>
      </c>
      <c r="J192" s="12">
        <v>33340000000</v>
      </c>
      <c r="K192" s="12">
        <v>0</v>
      </c>
      <c r="L192" s="12"/>
      <c r="M192" s="12"/>
      <c r="N192" s="12"/>
      <c r="O192" s="12">
        <v>0</v>
      </c>
      <c r="P192" s="12">
        <v>0</v>
      </c>
      <c r="Q192" s="12">
        <v>0</v>
      </c>
      <c r="R192" s="12">
        <v>0</v>
      </c>
      <c r="S192" s="12"/>
      <c r="T192" s="12"/>
      <c r="U192" s="12">
        <v>33340000000</v>
      </c>
      <c r="V192" s="12"/>
      <c r="W192" s="10"/>
      <c r="X192" s="13"/>
      <c r="Y192" s="10"/>
      <c r="Z192" s="13"/>
      <c r="AA192" s="13"/>
    </row>
    <row r="193" spans="1:27" x14ac:dyDescent="0.25">
      <c r="A193" s="10" t="s">
        <v>455</v>
      </c>
      <c r="B193" s="10"/>
      <c r="C193" s="10"/>
      <c r="D193" s="10" t="s">
        <v>471</v>
      </c>
      <c r="E193" s="10" t="s">
        <v>25</v>
      </c>
      <c r="F193" s="11">
        <v>43775</v>
      </c>
      <c r="G193" s="11">
        <v>45700</v>
      </c>
      <c r="H193" s="10" t="s">
        <v>40</v>
      </c>
      <c r="I193" s="10" t="s">
        <v>36</v>
      </c>
      <c r="J193" s="12">
        <v>0</v>
      </c>
      <c r="K193" s="12">
        <v>38800000000</v>
      </c>
      <c r="L193" s="12">
        <v>0</v>
      </c>
      <c r="M193" s="12">
        <v>0</v>
      </c>
      <c r="N193" s="12"/>
      <c r="O193" s="12">
        <v>0</v>
      </c>
      <c r="P193" s="12">
        <v>81880000000</v>
      </c>
      <c r="Q193" s="12">
        <v>167360000000</v>
      </c>
      <c r="R193" s="12">
        <v>185700000000</v>
      </c>
      <c r="S193" s="12"/>
      <c r="T193" s="12"/>
      <c r="U193" s="12">
        <v>473740000000</v>
      </c>
      <c r="V193" s="12"/>
      <c r="W193" s="10"/>
      <c r="X193" s="13"/>
      <c r="Y193" s="10"/>
      <c r="Z193" s="13"/>
      <c r="AA193" s="13"/>
    </row>
    <row r="194" spans="1:27" x14ac:dyDescent="0.25">
      <c r="A194" s="10" t="s">
        <v>455</v>
      </c>
      <c r="B194" s="10"/>
      <c r="C194" s="10"/>
      <c r="D194" s="10" t="s">
        <v>471</v>
      </c>
      <c r="E194" s="10" t="s">
        <v>19</v>
      </c>
      <c r="F194" s="11">
        <v>43775</v>
      </c>
      <c r="G194" s="11">
        <v>45700</v>
      </c>
      <c r="H194" s="10" t="s">
        <v>40</v>
      </c>
      <c r="I194" s="10" t="s">
        <v>36</v>
      </c>
      <c r="J194" s="12">
        <v>0</v>
      </c>
      <c r="K194" s="12">
        <v>1000000000</v>
      </c>
      <c r="L194" s="12">
        <v>0</v>
      </c>
      <c r="M194" s="12">
        <v>1500000000</v>
      </c>
      <c r="N194" s="12">
        <v>0</v>
      </c>
      <c r="O194" s="12">
        <v>1500000000</v>
      </c>
      <c r="P194" s="12">
        <v>1500000000</v>
      </c>
      <c r="Q194" s="12">
        <v>33800000000</v>
      </c>
      <c r="R194" s="12">
        <v>33800000000</v>
      </c>
      <c r="S194" s="12">
        <v>0</v>
      </c>
      <c r="T194" s="12"/>
      <c r="U194" s="12">
        <v>71600000000</v>
      </c>
      <c r="V194" s="12"/>
      <c r="W194" s="10"/>
      <c r="X194" s="13"/>
      <c r="Y194" s="10"/>
      <c r="Z194" s="13"/>
      <c r="AA194" s="13"/>
    </row>
    <row r="195" spans="1:27" x14ac:dyDescent="0.25">
      <c r="A195" s="10" t="s">
        <v>472</v>
      </c>
      <c r="B195" s="10"/>
      <c r="C195" s="10"/>
      <c r="D195" s="10" t="s">
        <v>18</v>
      </c>
      <c r="E195" s="10" t="s">
        <v>19</v>
      </c>
      <c r="F195" s="11">
        <v>44013</v>
      </c>
      <c r="G195" s="11">
        <v>45838</v>
      </c>
      <c r="H195" s="10" t="s">
        <v>20</v>
      </c>
      <c r="I195" s="10" t="s">
        <v>21</v>
      </c>
      <c r="J195" s="12">
        <v>0</v>
      </c>
      <c r="K195" s="12">
        <v>2056000000</v>
      </c>
      <c r="L195" s="12">
        <v>0</v>
      </c>
      <c r="M195" s="12"/>
      <c r="N195" s="12"/>
      <c r="O195" s="12">
        <v>2060000000</v>
      </c>
      <c r="P195" s="12">
        <v>5291300000</v>
      </c>
      <c r="Q195" s="12">
        <v>2905800000</v>
      </c>
      <c r="R195" s="12">
        <v>1788400000</v>
      </c>
      <c r="S195" s="12"/>
      <c r="T195" s="12"/>
      <c r="U195" s="12">
        <v>14101500000</v>
      </c>
      <c r="V195" s="12">
        <v>14101500000</v>
      </c>
      <c r="W195" s="10" t="s">
        <v>22</v>
      </c>
      <c r="X195" s="13"/>
      <c r="Y195" s="10" t="s">
        <v>23</v>
      </c>
      <c r="Z195" s="13"/>
      <c r="AA195" s="13"/>
    </row>
    <row r="196" spans="1:27" x14ac:dyDescent="0.25">
      <c r="A196" s="10" t="s">
        <v>472</v>
      </c>
      <c r="B196" s="10"/>
      <c r="C196" s="10"/>
      <c r="D196" s="10" t="s">
        <v>24</v>
      </c>
      <c r="E196" s="10" t="s">
        <v>25</v>
      </c>
      <c r="F196" s="11">
        <v>42917</v>
      </c>
      <c r="G196" s="11">
        <v>44742</v>
      </c>
      <c r="H196" s="10" t="s">
        <v>20</v>
      </c>
      <c r="I196" s="10" t="s">
        <v>26</v>
      </c>
      <c r="J196" s="12">
        <v>8820000000</v>
      </c>
      <c r="K196" s="12">
        <v>38381000000</v>
      </c>
      <c r="L196" s="12">
        <v>0</v>
      </c>
      <c r="M196" s="12"/>
      <c r="N196" s="12"/>
      <c r="O196" s="12">
        <v>389818000000</v>
      </c>
      <c r="P196" s="12"/>
      <c r="Q196" s="12"/>
      <c r="R196" s="12"/>
      <c r="S196" s="12"/>
      <c r="T196" s="12"/>
      <c r="U196" s="12">
        <v>437019000000</v>
      </c>
      <c r="V196" s="12">
        <v>470400000000</v>
      </c>
      <c r="W196" s="10" t="s">
        <v>27</v>
      </c>
      <c r="X196" s="13"/>
      <c r="Y196" s="10" t="s">
        <v>28</v>
      </c>
      <c r="Z196" s="13"/>
      <c r="AA196" s="13"/>
    </row>
    <row r="197" spans="1:27" x14ac:dyDescent="0.25">
      <c r="A197" s="10" t="s">
        <v>472</v>
      </c>
      <c r="B197" s="10"/>
      <c r="C197" s="10"/>
      <c r="D197" s="10" t="s">
        <v>29</v>
      </c>
      <c r="E197" s="10" t="s">
        <v>25</v>
      </c>
      <c r="F197" s="11">
        <v>42917</v>
      </c>
      <c r="G197" s="11">
        <v>44742</v>
      </c>
      <c r="H197" s="10" t="s">
        <v>20</v>
      </c>
      <c r="I197" s="10" t="s">
        <v>26</v>
      </c>
      <c r="J197" s="12">
        <v>171540000000</v>
      </c>
      <c r="K197" s="12">
        <v>233183000000</v>
      </c>
      <c r="L197" s="12">
        <v>0</v>
      </c>
      <c r="M197" s="12"/>
      <c r="N197" s="12"/>
      <c r="O197" s="12">
        <v>176910000000</v>
      </c>
      <c r="P197" s="12"/>
      <c r="Q197" s="12"/>
      <c r="R197" s="12"/>
      <c r="S197" s="12"/>
      <c r="T197" s="12"/>
      <c r="U197" s="12">
        <v>581633000000</v>
      </c>
      <c r="V197" s="12">
        <v>740000000000</v>
      </c>
      <c r="W197" s="10" t="s">
        <v>30</v>
      </c>
      <c r="X197" s="13"/>
      <c r="Y197" s="10"/>
      <c r="Z197" s="13"/>
      <c r="AA197" s="13"/>
    </row>
    <row r="198" spans="1:27" x14ac:dyDescent="0.25">
      <c r="A198" s="10" t="s">
        <v>473</v>
      </c>
      <c r="B198" s="10"/>
      <c r="C198" s="10"/>
      <c r="D198" s="10" t="s">
        <v>474</v>
      </c>
      <c r="E198" s="10" t="s">
        <v>25</v>
      </c>
      <c r="F198" s="11">
        <v>41455</v>
      </c>
      <c r="G198" s="11">
        <v>45107</v>
      </c>
      <c r="H198" s="10" t="s">
        <v>20</v>
      </c>
      <c r="I198" s="10" t="s">
        <v>36</v>
      </c>
      <c r="J198" s="12">
        <v>338651000000</v>
      </c>
      <c r="K198" s="12">
        <v>56094416000</v>
      </c>
      <c r="L198" s="12">
        <v>0</v>
      </c>
      <c r="M198" s="12"/>
      <c r="N198" s="12">
        <v>18500000000</v>
      </c>
      <c r="O198" s="12">
        <v>18500000000</v>
      </c>
      <c r="P198" s="12">
        <v>3700000000</v>
      </c>
      <c r="Q198" s="12"/>
      <c r="R198" s="12"/>
      <c r="S198" s="12"/>
      <c r="T198" s="12"/>
      <c r="U198" s="12">
        <v>416945416000</v>
      </c>
      <c r="V198" s="12">
        <v>652258662303</v>
      </c>
      <c r="W198" s="10" t="s">
        <v>475</v>
      </c>
      <c r="X198" s="13"/>
      <c r="Y198" s="10" t="s">
        <v>23</v>
      </c>
      <c r="Z198" s="13"/>
      <c r="AA198" s="13"/>
    </row>
    <row r="199" spans="1:27" x14ac:dyDescent="0.25">
      <c r="A199" s="10" t="s">
        <v>473</v>
      </c>
      <c r="B199" s="10"/>
      <c r="C199" s="10"/>
      <c r="D199" s="10" t="s">
        <v>474</v>
      </c>
      <c r="E199" s="10" t="s">
        <v>19</v>
      </c>
      <c r="F199" s="11">
        <v>41455</v>
      </c>
      <c r="G199" s="11">
        <v>45107</v>
      </c>
      <c r="H199" s="10" t="s">
        <v>20</v>
      </c>
      <c r="I199" s="10" t="s">
        <v>36</v>
      </c>
      <c r="J199" s="12">
        <v>608631000000</v>
      </c>
      <c r="K199" s="12">
        <v>118139341000</v>
      </c>
      <c r="L199" s="12">
        <v>0</v>
      </c>
      <c r="M199" s="12"/>
      <c r="N199" s="12">
        <v>221140000000</v>
      </c>
      <c r="O199" s="12">
        <v>221140000000</v>
      </c>
      <c r="P199" s="12">
        <v>128140000000</v>
      </c>
      <c r="Q199" s="12"/>
      <c r="R199" s="12"/>
      <c r="S199" s="12"/>
      <c r="T199" s="12"/>
      <c r="U199" s="12">
        <v>1076050341000</v>
      </c>
      <c r="V199" s="12"/>
      <c r="W199" s="10"/>
      <c r="X199" s="13"/>
      <c r="Y199" s="10" t="s">
        <v>28</v>
      </c>
      <c r="Z199" s="13"/>
      <c r="AA199" s="13"/>
    </row>
    <row r="200" spans="1:27" x14ac:dyDescent="0.25">
      <c r="A200" s="10" t="s">
        <v>473</v>
      </c>
      <c r="B200" s="10"/>
      <c r="C200" s="10"/>
      <c r="D200" s="10" t="s">
        <v>48</v>
      </c>
      <c r="E200" s="10" t="s">
        <v>25</v>
      </c>
      <c r="F200" s="11">
        <v>42551</v>
      </c>
      <c r="G200" s="11">
        <v>44926</v>
      </c>
      <c r="H200" s="10" t="s">
        <v>20</v>
      </c>
      <c r="I200" s="10" t="s">
        <v>36</v>
      </c>
      <c r="J200" s="12">
        <v>80970000000</v>
      </c>
      <c r="K200" s="12">
        <v>173142900000</v>
      </c>
      <c r="L200" s="12">
        <v>0</v>
      </c>
      <c r="M200" s="12"/>
      <c r="N200" s="12">
        <v>55763000000</v>
      </c>
      <c r="O200" s="12">
        <v>55763000000</v>
      </c>
      <c r="P200" s="12">
        <v>0</v>
      </c>
      <c r="Q200" s="12"/>
      <c r="R200" s="12"/>
      <c r="S200" s="12"/>
      <c r="T200" s="12"/>
      <c r="U200" s="12">
        <v>309875900000</v>
      </c>
      <c r="V200" s="12">
        <v>452400000000</v>
      </c>
      <c r="W200" s="10" t="s">
        <v>475</v>
      </c>
      <c r="X200" s="13"/>
      <c r="Y200" s="10"/>
      <c r="Z200" s="13"/>
      <c r="AA200" s="13"/>
    </row>
    <row r="201" spans="1:27" x14ac:dyDescent="0.25">
      <c r="A201" s="10" t="s">
        <v>473</v>
      </c>
      <c r="B201" s="10"/>
      <c r="C201" s="10"/>
      <c r="D201" s="10" t="s">
        <v>48</v>
      </c>
      <c r="E201" s="10" t="s">
        <v>19</v>
      </c>
      <c r="F201" s="11">
        <v>44377</v>
      </c>
      <c r="G201" s="11">
        <v>44926</v>
      </c>
      <c r="H201" s="10" t="s">
        <v>20</v>
      </c>
      <c r="I201" s="10" t="s">
        <v>36</v>
      </c>
      <c r="J201" s="12">
        <v>950000000</v>
      </c>
      <c r="K201" s="12">
        <v>0</v>
      </c>
      <c r="L201" s="12">
        <v>0</v>
      </c>
      <c r="M201" s="12"/>
      <c r="N201" s="12">
        <v>0</v>
      </c>
      <c r="O201" s="12">
        <v>0</v>
      </c>
      <c r="P201" s="12">
        <v>0</v>
      </c>
      <c r="Q201" s="12">
        <v>0</v>
      </c>
      <c r="R201" s="12">
        <v>0</v>
      </c>
      <c r="S201" s="12"/>
      <c r="T201" s="12"/>
      <c r="U201" s="12">
        <v>950000000</v>
      </c>
      <c r="V201" s="12"/>
      <c r="W201" s="10"/>
      <c r="X201" s="13"/>
      <c r="Y201" s="10"/>
      <c r="Z201" s="13"/>
      <c r="AA201" s="13"/>
    </row>
    <row r="202" spans="1:27" x14ac:dyDescent="0.25">
      <c r="A202" s="10" t="s">
        <v>473</v>
      </c>
      <c r="B202" s="10"/>
      <c r="C202" s="10"/>
      <c r="D202" s="10" t="s">
        <v>476</v>
      </c>
      <c r="E202" s="10" t="s">
        <v>25</v>
      </c>
      <c r="F202" s="11">
        <v>43282</v>
      </c>
      <c r="G202" s="11">
        <v>44742</v>
      </c>
      <c r="H202" s="10" t="s">
        <v>20</v>
      </c>
      <c r="I202" s="10" t="s">
        <v>36</v>
      </c>
      <c r="J202" s="12">
        <v>93570000000</v>
      </c>
      <c r="K202" s="12">
        <v>112092972000</v>
      </c>
      <c r="L202" s="12">
        <v>0</v>
      </c>
      <c r="M202" s="12"/>
      <c r="N202" s="12">
        <v>245786000000</v>
      </c>
      <c r="O202" s="12">
        <v>245786000000</v>
      </c>
      <c r="P202" s="12">
        <v>0</v>
      </c>
      <c r="Q202" s="12">
        <v>0</v>
      </c>
      <c r="R202" s="12">
        <v>0</v>
      </c>
      <c r="S202" s="12"/>
      <c r="T202" s="12"/>
      <c r="U202" s="12">
        <v>366038972000</v>
      </c>
      <c r="V202" s="12">
        <v>829413000000</v>
      </c>
      <c r="W202" s="10" t="s">
        <v>475</v>
      </c>
      <c r="X202" s="13"/>
      <c r="Y202" s="10"/>
      <c r="Z202" s="13"/>
      <c r="AA202" s="13"/>
    </row>
    <row r="203" spans="1:27" x14ac:dyDescent="0.25">
      <c r="A203" s="10" t="s">
        <v>473</v>
      </c>
      <c r="B203" s="10"/>
      <c r="C203" s="10"/>
      <c r="D203" s="10" t="s">
        <v>476</v>
      </c>
      <c r="E203" s="10" t="s">
        <v>19</v>
      </c>
      <c r="F203" s="11">
        <v>43282</v>
      </c>
      <c r="G203" s="11">
        <v>44742</v>
      </c>
      <c r="H203" s="10" t="s">
        <v>20</v>
      </c>
      <c r="I203" s="10" t="s">
        <v>36</v>
      </c>
      <c r="J203" s="12">
        <v>8160000000</v>
      </c>
      <c r="K203" s="12">
        <v>10000000000</v>
      </c>
      <c r="L203" s="12">
        <v>0</v>
      </c>
      <c r="M203" s="12"/>
      <c r="N203" s="12">
        <v>10000000000</v>
      </c>
      <c r="O203" s="12">
        <v>10000000000</v>
      </c>
      <c r="P203" s="12">
        <v>0</v>
      </c>
      <c r="Q203" s="12">
        <v>0</v>
      </c>
      <c r="R203" s="12">
        <v>0</v>
      </c>
      <c r="S203" s="12"/>
      <c r="T203" s="12"/>
      <c r="U203" s="12">
        <v>28160000000</v>
      </c>
      <c r="V203" s="12"/>
      <c r="W203" s="10"/>
      <c r="X203" s="13"/>
      <c r="Y203" s="10"/>
      <c r="Z203" s="13"/>
      <c r="AA203" s="13"/>
    </row>
    <row r="204" spans="1:27" x14ac:dyDescent="0.25">
      <c r="A204" s="10" t="s">
        <v>473</v>
      </c>
      <c r="B204" s="10"/>
      <c r="C204" s="10"/>
      <c r="D204" s="10" t="s">
        <v>477</v>
      </c>
      <c r="E204" s="10" t="s">
        <v>25</v>
      </c>
      <c r="F204" s="11">
        <v>43282</v>
      </c>
      <c r="G204" s="11">
        <v>44742</v>
      </c>
      <c r="H204" s="10" t="s">
        <v>20</v>
      </c>
      <c r="I204" s="10" t="s">
        <v>36</v>
      </c>
      <c r="J204" s="12">
        <v>68610000000</v>
      </c>
      <c r="K204" s="12">
        <v>157410000000</v>
      </c>
      <c r="L204" s="12">
        <v>0</v>
      </c>
      <c r="M204" s="12"/>
      <c r="N204" s="12">
        <v>144581000000</v>
      </c>
      <c r="O204" s="12">
        <v>144581000000</v>
      </c>
      <c r="P204" s="12">
        <v>0</v>
      </c>
      <c r="Q204" s="12">
        <v>0</v>
      </c>
      <c r="R204" s="12">
        <v>0</v>
      </c>
      <c r="S204" s="12"/>
      <c r="T204" s="12"/>
      <c r="U204" s="12">
        <v>370601000000</v>
      </c>
      <c r="V204" s="12">
        <v>390000000000</v>
      </c>
      <c r="W204" s="10" t="s">
        <v>475</v>
      </c>
      <c r="X204" s="13"/>
      <c r="Y204" s="10"/>
      <c r="Z204" s="13"/>
      <c r="AA204" s="13"/>
    </row>
    <row r="205" spans="1:27" x14ac:dyDescent="0.25">
      <c r="A205" s="10" t="s">
        <v>473</v>
      </c>
      <c r="B205" s="10"/>
      <c r="C205" s="10"/>
      <c r="D205" s="10" t="s">
        <v>477</v>
      </c>
      <c r="E205" s="10" t="s">
        <v>19</v>
      </c>
      <c r="F205" s="11">
        <v>43282</v>
      </c>
      <c r="G205" s="11">
        <v>44742</v>
      </c>
      <c r="H205" s="10" t="s">
        <v>20</v>
      </c>
      <c r="I205" s="10" t="s">
        <v>36</v>
      </c>
      <c r="J205" s="12">
        <v>0</v>
      </c>
      <c r="K205" s="12">
        <v>0</v>
      </c>
      <c r="L205" s="12">
        <v>0</v>
      </c>
      <c r="M205" s="12"/>
      <c r="N205" s="12">
        <v>0</v>
      </c>
      <c r="O205" s="12">
        <v>0</v>
      </c>
      <c r="P205" s="12">
        <v>0</v>
      </c>
      <c r="Q205" s="12">
        <v>0</v>
      </c>
      <c r="R205" s="12">
        <v>0</v>
      </c>
      <c r="S205" s="12"/>
      <c r="T205" s="12"/>
      <c r="U205" s="12">
        <v>0</v>
      </c>
      <c r="V205" s="12"/>
      <c r="W205" s="10"/>
      <c r="X205" s="13"/>
      <c r="Y205" s="10"/>
      <c r="Z205" s="13"/>
      <c r="AA205" s="13"/>
    </row>
    <row r="206" spans="1:27" x14ac:dyDescent="0.25">
      <c r="A206" s="10" t="s">
        <v>478</v>
      </c>
      <c r="B206" s="10"/>
      <c r="C206" s="10"/>
      <c r="D206" s="10" t="s">
        <v>479</v>
      </c>
      <c r="E206" s="10" t="s">
        <v>19</v>
      </c>
      <c r="F206" s="11">
        <v>44013</v>
      </c>
      <c r="G206" s="11">
        <v>45839</v>
      </c>
      <c r="H206" s="10" t="s">
        <v>40</v>
      </c>
      <c r="I206" s="10" t="s">
        <v>21</v>
      </c>
      <c r="J206" s="12">
        <v>0</v>
      </c>
      <c r="K206" s="12">
        <v>1900000000</v>
      </c>
      <c r="L206" s="12">
        <v>0</v>
      </c>
      <c r="M206" s="12">
        <v>0</v>
      </c>
      <c r="N206" s="12">
        <v>3850000000</v>
      </c>
      <c r="O206" s="12">
        <v>3850000000</v>
      </c>
      <c r="P206" s="12">
        <v>1650000000</v>
      </c>
      <c r="Q206" s="12">
        <v>1550000000</v>
      </c>
      <c r="R206" s="12">
        <v>1150000000</v>
      </c>
      <c r="S206" s="12"/>
      <c r="T206" s="12"/>
      <c r="U206" s="12">
        <v>10100000000</v>
      </c>
      <c r="V206" s="12">
        <v>10100000000</v>
      </c>
      <c r="W206" s="10" t="s">
        <v>480</v>
      </c>
      <c r="X206" s="13"/>
      <c r="Y206" s="10"/>
      <c r="Z206" s="13"/>
      <c r="AA206" s="13"/>
    </row>
    <row r="207" spans="1:27" x14ac:dyDescent="0.25">
      <c r="A207" s="10" t="s">
        <v>478</v>
      </c>
      <c r="B207" s="10"/>
      <c r="C207" s="10"/>
      <c r="D207" s="10" t="s">
        <v>481</v>
      </c>
      <c r="E207" s="10" t="s">
        <v>19</v>
      </c>
      <c r="F207" s="11">
        <v>44013</v>
      </c>
      <c r="G207" s="11">
        <v>45839</v>
      </c>
      <c r="H207" s="10" t="s">
        <v>20</v>
      </c>
      <c r="I207" s="10" t="s">
        <v>36</v>
      </c>
      <c r="J207" s="12">
        <v>0</v>
      </c>
      <c r="K207" s="12">
        <v>4100000000</v>
      </c>
      <c r="L207" s="12">
        <v>0</v>
      </c>
      <c r="M207" s="12">
        <v>0</v>
      </c>
      <c r="N207" s="12">
        <v>15000000000</v>
      </c>
      <c r="O207" s="12">
        <v>15000000000</v>
      </c>
      <c r="P207" s="12">
        <v>13335000000</v>
      </c>
      <c r="Q207" s="12">
        <v>9000000000</v>
      </c>
      <c r="R207" s="12">
        <v>915000000</v>
      </c>
      <c r="S207" s="12"/>
      <c r="T207" s="12"/>
      <c r="U207" s="12">
        <v>42350000000</v>
      </c>
      <c r="V207" s="12">
        <v>42350000000</v>
      </c>
      <c r="W207" s="10" t="s">
        <v>482</v>
      </c>
      <c r="X207" s="13"/>
      <c r="Y207" s="10"/>
      <c r="Z207" s="13"/>
      <c r="AA207" s="13"/>
    </row>
    <row r="208" spans="1:27" x14ac:dyDescent="0.25">
      <c r="A208" s="10" t="s">
        <v>483</v>
      </c>
      <c r="B208" s="10"/>
      <c r="C208" s="10"/>
      <c r="D208" s="10" t="s">
        <v>484</v>
      </c>
      <c r="E208" s="10" t="s">
        <v>19</v>
      </c>
      <c r="F208" s="11">
        <v>42213</v>
      </c>
      <c r="G208" s="11"/>
      <c r="H208" s="10" t="s">
        <v>20</v>
      </c>
      <c r="I208" s="10" t="s">
        <v>36</v>
      </c>
      <c r="J208" s="12">
        <v>12219713932</v>
      </c>
      <c r="K208" s="12">
        <v>1000000000</v>
      </c>
      <c r="L208" s="12">
        <v>0</v>
      </c>
      <c r="M208" s="12">
        <v>1000000000</v>
      </c>
      <c r="N208" s="12">
        <v>1200000000</v>
      </c>
      <c r="O208" s="12">
        <v>2200000000</v>
      </c>
      <c r="P208" s="12">
        <v>0</v>
      </c>
      <c r="Q208" s="12">
        <v>0</v>
      </c>
      <c r="R208" s="12">
        <v>0</v>
      </c>
      <c r="S208" s="12">
        <v>0</v>
      </c>
      <c r="T208" s="12"/>
      <c r="U208" s="12">
        <v>15419713932</v>
      </c>
      <c r="V208" s="12"/>
      <c r="W208" s="10"/>
      <c r="X208" s="13"/>
      <c r="Y208" s="10" t="s">
        <v>23</v>
      </c>
      <c r="Z208" s="13"/>
      <c r="AA208" s="13"/>
    </row>
    <row r="209" spans="1:27" x14ac:dyDescent="0.25">
      <c r="A209" s="10" t="s">
        <v>483</v>
      </c>
      <c r="B209" s="10"/>
      <c r="C209" s="10"/>
      <c r="D209" s="10" t="s">
        <v>484</v>
      </c>
      <c r="E209" s="10" t="s">
        <v>25</v>
      </c>
      <c r="F209" s="11">
        <v>42213</v>
      </c>
      <c r="G209" s="11">
        <v>44742</v>
      </c>
      <c r="H209" s="10" t="s">
        <v>20</v>
      </c>
      <c r="I209" s="10" t="s">
        <v>36</v>
      </c>
      <c r="J209" s="12">
        <v>169643847368</v>
      </c>
      <c r="K209" s="12">
        <v>75115000000</v>
      </c>
      <c r="L209" s="12">
        <v>0</v>
      </c>
      <c r="M209" s="12"/>
      <c r="N209" s="12">
        <v>68400000000</v>
      </c>
      <c r="O209" s="12">
        <v>68400000000</v>
      </c>
      <c r="P209" s="12"/>
      <c r="Q209" s="12"/>
      <c r="R209" s="12"/>
      <c r="S209" s="12"/>
      <c r="T209" s="12"/>
      <c r="U209" s="12">
        <v>313158847368</v>
      </c>
      <c r="V209" s="12">
        <v>307330000000</v>
      </c>
      <c r="W209" s="10"/>
      <c r="X209" s="13"/>
      <c r="Y209" s="10" t="s">
        <v>28</v>
      </c>
      <c r="Z209" s="13"/>
      <c r="AA209" s="13"/>
    </row>
    <row r="210" spans="1:27" x14ac:dyDescent="0.25">
      <c r="A210" s="10" t="s">
        <v>483</v>
      </c>
      <c r="B210" s="10"/>
      <c r="C210" s="10"/>
      <c r="D210" s="10" t="s">
        <v>485</v>
      </c>
      <c r="E210" s="10" t="s">
        <v>19</v>
      </c>
      <c r="F210" s="11">
        <v>42221</v>
      </c>
      <c r="G210" s="11">
        <v>44778</v>
      </c>
      <c r="H210" s="10" t="s">
        <v>20</v>
      </c>
      <c r="I210" s="10" t="s">
        <v>26</v>
      </c>
      <c r="J210" s="12">
        <v>10382720555</v>
      </c>
      <c r="K210" s="12">
        <v>4912240666</v>
      </c>
      <c r="L210" s="12">
        <v>0</v>
      </c>
      <c r="M210" s="12">
        <v>13409927982</v>
      </c>
      <c r="N210" s="12">
        <v>0</v>
      </c>
      <c r="O210" s="12">
        <v>13409927982</v>
      </c>
      <c r="P210" s="12">
        <v>0</v>
      </c>
      <c r="Q210" s="12"/>
      <c r="R210" s="12"/>
      <c r="S210" s="12"/>
      <c r="T210" s="12"/>
      <c r="U210" s="12">
        <v>28704889203</v>
      </c>
      <c r="V210" s="12">
        <v>34040000000</v>
      </c>
      <c r="W210" s="10"/>
      <c r="X210" s="13"/>
      <c r="Y210" s="10"/>
      <c r="Z210" s="13"/>
      <c r="AA210" s="13"/>
    </row>
    <row r="211" spans="1:27" x14ac:dyDescent="0.25">
      <c r="A211" s="10" t="s">
        <v>483</v>
      </c>
      <c r="B211" s="10"/>
      <c r="C211" s="10"/>
      <c r="D211" s="10" t="s">
        <v>485</v>
      </c>
      <c r="E211" s="10" t="s">
        <v>25</v>
      </c>
      <c r="F211" s="11">
        <v>42221</v>
      </c>
      <c r="G211" s="11">
        <v>44778</v>
      </c>
      <c r="H211" s="10" t="s">
        <v>20</v>
      </c>
      <c r="I211" s="10" t="s">
        <v>26</v>
      </c>
      <c r="J211" s="12">
        <v>109296411445</v>
      </c>
      <c r="K211" s="12">
        <v>49622215035</v>
      </c>
      <c r="L211" s="12">
        <v>0</v>
      </c>
      <c r="M211" s="12">
        <v>37965322600</v>
      </c>
      <c r="N211" s="12">
        <v>0</v>
      </c>
      <c r="O211" s="12">
        <v>37965322600</v>
      </c>
      <c r="P211" s="12">
        <v>0</v>
      </c>
      <c r="Q211" s="12">
        <v>0</v>
      </c>
      <c r="R211" s="12">
        <v>0</v>
      </c>
      <c r="S211" s="12"/>
      <c r="T211" s="12"/>
      <c r="U211" s="12">
        <v>196883949080</v>
      </c>
      <c r="V211" s="12">
        <v>216081000000</v>
      </c>
      <c r="W211" s="10"/>
      <c r="X211" s="13"/>
      <c r="Y211" s="10"/>
      <c r="Z211" s="13"/>
      <c r="AA211" s="13"/>
    </row>
    <row r="212" spans="1:27" x14ac:dyDescent="0.25">
      <c r="A212" s="10" t="s">
        <v>483</v>
      </c>
      <c r="B212" s="10"/>
      <c r="C212" s="10"/>
      <c r="D212" s="10" t="s">
        <v>486</v>
      </c>
      <c r="E212" s="10" t="s">
        <v>19</v>
      </c>
      <c r="F212" s="11">
        <v>43521</v>
      </c>
      <c r="G212" s="11">
        <v>44982</v>
      </c>
      <c r="H212" s="10" t="s">
        <v>20</v>
      </c>
      <c r="I212" s="10" t="s">
        <v>36</v>
      </c>
      <c r="J212" s="12">
        <v>2000000000</v>
      </c>
      <c r="K212" s="12">
        <v>1000000000</v>
      </c>
      <c r="L212" s="12">
        <v>0</v>
      </c>
      <c r="M212" s="12">
        <v>3648000000</v>
      </c>
      <c r="N212" s="12">
        <v>3648000000</v>
      </c>
      <c r="O212" s="12">
        <v>7296000000</v>
      </c>
      <c r="P212" s="12">
        <v>3648000000</v>
      </c>
      <c r="Q212" s="12">
        <v>0</v>
      </c>
      <c r="R212" s="12">
        <v>0</v>
      </c>
      <c r="S212" s="12"/>
      <c r="T212" s="12"/>
      <c r="U212" s="12">
        <v>13944000000</v>
      </c>
      <c r="V212" s="12">
        <v>18592000000</v>
      </c>
      <c r="W212" s="10"/>
      <c r="X212" s="13"/>
      <c r="Y212" s="10"/>
      <c r="Z212" s="13"/>
      <c r="AA212" s="13"/>
    </row>
    <row r="213" spans="1:27" x14ac:dyDescent="0.25">
      <c r="A213" s="10" t="s">
        <v>483</v>
      </c>
      <c r="B213" s="10"/>
      <c r="C213" s="10"/>
      <c r="D213" s="10" t="s">
        <v>486</v>
      </c>
      <c r="E213" s="10" t="s">
        <v>25</v>
      </c>
      <c r="F213" s="11">
        <v>43521</v>
      </c>
      <c r="G213" s="11">
        <v>44982</v>
      </c>
      <c r="H213" s="10" t="s">
        <v>20</v>
      </c>
      <c r="I213" s="10" t="s">
        <v>36</v>
      </c>
      <c r="J213" s="12">
        <v>25550000000</v>
      </c>
      <c r="K213" s="12">
        <v>28209976100</v>
      </c>
      <c r="L213" s="12">
        <v>0</v>
      </c>
      <c r="M213" s="12">
        <v>0</v>
      </c>
      <c r="N213" s="12">
        <v>50710000000</v>
      </c>
      <c r="O213" s="12">
        <v>50710000000</v>
      </c>
      <c r="P213" s="12">
        <v>43800000000</v>
      </c>
      <c r="Q213" s="12">
        <v>0</v>
      </c>
      <c r="R213" s="12">
        <v>0</v>
      </c>
      <c r="S213" s="12"/>
      <c r="T213" s="12"/>
      <c r="U213" s="12">
        <v>148269976100</v>
      </c>
      <c r="V213" s="12">
        <v>220279952200</v>
      </c>
      <c r="W213" s="10"/>
      <c r="X213" s="13"/>
      <c r="Y213" s="10"/>
      <c r="Z213" s="13"/>
      <c r="AA213" s="13"/>
    </row>
    <row r="214" spans="1:27" x14ac:dyDescent="0.25">
      <c r="A214" s="10" t="s">
        <v>483</v>
      </c>
      <c r="B214" s="10"/>
      <c r="C214" s="10"/>
      <c r="D214" s="10" t="s">
        <v>487</v>
      </c>
      <c r="E214" s="10" t="s">
        <v>19</v>
      </c>
      <c r="F214" s="11">
        <v>44013</v>
      </c>
      <c r="G214" s="11">
        <v>45713</v>
      </c>
      <c r="H214" s="10" t="s">
        <v>20</v>
      </c>
      <c r="I214" s="10" t="s">
        <v>21</v>
      </c>
      <c r="J214" s="12">
        <v>18950000000</v>
      </c>
      <c r="K214" s="12">
        <v>18950000000</v>
      </c>
      <c r="L214" s="12">
        <v>0</v>
      </c>
      <c r="M214" s="12">
        <v>0</v>
      </c>
      <c r="N214" s="12">
        <v>18950000000</v>
      </c>
      <c r="O214" s="12">
        <v>18950000000</v>
      </c>
      <c r="P214" s="12">
        <v>18950000000</v>
      </c>
      <c r="Q214" s="12">
        <v>18950000000</v>
      </c>
      <c r="R214" s="12">
        <v>18950000000</v>
      </c>
      <c r="S214" s="12">
        <v>0</v>
      </c>
      <c r="T214" s="12"/>
      <c r="U214" s="12">
        <v>113700000000</v>
      </c>
      <c r="V214" s="12"/>
      <c r="W214" s="10"/>
      <c r="X214" s="13"/>
      <c r="Y214" s="10"/>
      <c r="Z214" s="13"/>
      <c r="AA214" s="13"/>
    </row>
    <row r="215" spans="1:27" x14ac:dyDescent="0.25">
      <c r="A215" s="10" t="s">
        <v>483</v>
      </c>
      <c r="B215" s="10"/>
      <c r="C215" s="10"/>
      <c r="D215" s="10" t="s">
        <v>488</v>
      </c>
      <c r="E215" s="10" t="s">
        <v>19</v>
      </c>
      <c r="F215" s="11">
        <v>44378</v>
      </c>
      <c r="G215" s="11">
        <v>46203</v>
      </c>
      <c r="H215" s="10" t="s">
        <v>40</v>
      </c>
      <c r="I215" s="10" t="s">
        <v>36</v>
      </c>
      <c r="J215" s="12">
        <v>0</v>
      </c>
      <c r="K215" s="12">
        <v>0</v>
      </c>
      <c r="L215" s="12">
        <v>0</v>
      </c>
      <c r="M215" s="12"/>
      <c r="N215" s="12">
        <v>10814693757</v>
      </c>
      <c r="O215" s="12">
        <v>10814693757</v>
      </c>
      <c r="P215" s="12">
        <v>11621873757</v>
      </c>
      <c r="Q215" s="12">
        <v>12429053757</v>
      </c>
      <c r="R215" s="12">
        <v>13236233757</v>
      </c>
      <c r="S215" s="12">
        <v>10478515838</v>
      </c>
      <c r="T215" s="12"/>
      <c r="U215" s="12">
        <v>58580370866</v>
      </c>
      <c r="V215" s="12">
        <v>58580370866</v>
      </c>
      <c r="W215" s="10" t="s">
        <v>489</v>
      </c>
      <c r="X215" s="13"/>
      <c r="Y215" s="10"/>
      <c r="Z215" s="13"/>
      <c r="AA215" s="13"/>
    </row>
    <row r="216" spans="1:27" x14ac:dyDescent="0.25">
      <c r="A216" s="10" t="s">
        <v>490</v>
      </c>
      <c r="B216" s="10"/>
      <c r="C216" s="10"/>
      <c r="D216" s="10" t="s">
        <v>491</v>
      </c>
      <c r="E216" s="10" t="s">
        <v>19</v>
      </c>
      <c r="F216" s="11">
        <v>43837</v>
      </c>
      <c r="G216" s="11"/>
      <c r="H216" s="10" t="s">
        <v>20</v>
      </c>
      <c r="I216" s="10" t="s">
        <v>21</v>
      </c>
      <c r="J216" s="12">
        <v>0</v>
      </c>
      <c r="K216" s="12">
        <v>7428701718</v>
      </c>
      <c r="L216" s="12">
        <v>0</v>
      </c>
      <c r="M216" s="12">
        <v>0</v>
      </c>
      <c r="N216" s="12">
        <v>12651298282</v>
      </c>
      <c r="O216" s="12">
        <v>12651298282</v>
      </c>
      <c r="P216" s="12">
        <v>8900000000</v>
      </c>
      <c r="Q216" s="12">
        <v>8400000000</v>
      </c>
      <c r="R216" s="12">
        <v>7900000000</v>
      </c>
      <c r="S216" s="12"/>
      <c r="T216" s="12"/>
      <c r="U216" s="12">
        <v>45280000000</v>
      </c>
      <c r="V216" s="12">
        <v>43600000000</v>
      </c>
      <c r="W216" s="10" t="s">
        <v>492</v>
      </c>
      <c r="X216" s="13"/>
      <c r="Y216" s="10" t="s">
        <v>23</v>
      </c>
      <c r="Z216" s="13"/>
      <c r="AA216" s="13"/>
    </row>
  </sheetData>
  <phoneticPr fontId="3"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0"/>
  <sheetViews>
    <sheetView workbookViewId="0">
      <selection activeCell="E14" sqref="E14"/>
    </sheetView>
  </sheetViews>
  <sheetFormatPr defaultRowHeight="15" x14ac:dyDescent="0.25"/>
  <cols>
    <col min="2" max="2" width="46.5703125" bestFit="1" customWidth="1"/>
  </cols>
  <sheetData>
    <row r="1" spans="1:6" x14ac:dyDescent="0.25">
      <c r="A1" s="15" t="s">
        <v>1712</v>
      </c>
      <c r="B1" s="15" t="s">
        <v>1713</v>
      </c>
      <c r="C1" s="135" t="s">
        <v>1710</v>
      </c>
      <c r="D1" s="135" t="s">
        <v>1654</v>
      </c>
      <c r="E1" s="135" t="s">
        <v>1655</v>
      </c>
      <c r="F1" s="135" t="s">
        <v>1656</v>
      </c>
    </row>
    <row r="2" spans="1:6" x14ac:dyDescent="0.25">
      <c r="A2" s="86" t="s">
        <v>511</v>
      </c>
      <c r="B2" t="s">
        <v>1691</v>
      </c>
      <c r="C2" s="129">
        <v>472.0296960518782</v>
      </c>
      <c r="D2" s="129">
        <v>472.0296960518782</v>
      </c>
      <c r="E2" s="129">
        <v>472.0296960518782</v>
      </c>
      <c r="F2" s="129">
        <v>472.0296960518782</v>
      </c>
    </row>
    <row r="3" spans="1:6" x14ac:dyDescent="0.25">
      <c r="A3" s="86" t="s">
        <v>512</v>
      </c>
      <c r="B3" t="s">
        <v>1692</v>
      </c>
      <c r="C3" s="129">
        <v>10.335509197200334</v>
      </c>
      <c r="D3" s="129">
        <v>10.335509197200334</v>
      </c>
      <c r="E3" s="129">
        <v>10.335509197200334</v>
      </c>
      <c r="F3" s="129">
        <v>10.335509197200334</v>
      </c>
    </row>
    <row r="4" spans="1:6" x14ac:dyDescent="0.25">
      <c r="A4" s="86" t="s">
        <v>513</v>
      </c>
      <c r="B4" t="s">
        <v>1693</v>
      </c>
      <c r="C4" s="129">
        <v>137.94934976179286</v>
      </c>
      <c r="D4" s="129">
        <v>137.94934976179286</v>
      </c>
      <c r="E4" s="129">
        <v>137.94934976179286</v>
      </c>
      <c r="F4" s="129">
        <v>137.94934976179286</v>
      </c>
    </row>
    <row r="5" spans="1:6" x14ac:dyDescent="0.25">
      <c r="A5" s="86" t="s">
        <v>515</v>
      </c>
      <c r="B5" t="s">
        <v>1694</v>
      </c>
      <c r="C5" s="129">
        <v>27.665425245948473</v>
      </c>
      <c r="D5" s="129">
        <v>27.665425245948473</v>
      </c>
      <c r="E5" s="129">
        <v>27.665425245948473</v>
      </c>
      <c r="F5" s="129">
        <v>27.665425245948473</v>
      </c>
    </row>
    <row r="6" spans="1:6" x14ac:dyDescent="0.25">
      <c r="A6" s="86" t="s">
        <v>516</v>
      </c>
      <c r="B6" t="s">
        <v>1695</v>
      </c>
      <c r="C6" s="129">
        <v>2602.5489471498563</v>
      </c>
      <c r="D6" s="129">
        <v>2602.5489471498563</v>
      </c>
      <c r="E6" s="129">
        <v>2602.5489471498563</v>
      </c>
      <c r="F6" s="129">
        <v>2602.5489471498563</v>
      </c>
    </row>
    <row r="7" spans="1:6" x14ac:dyDescent="0.25">
      <c r="A7" s="86" t="s">
        <v>518</v>
      </c>
      <c r="B7" t="s">
        <v>1696</v>
      </c>
      <c r="C7" s="129">
        <v>529.80654966963039</v>
      </c>
      <c r="D7" s="129">
        <v>529.80654966963039</v>
      </c>
      <c r="E7" s="129">
        <v>529.80654966963039</v>
      </c>
      <c r="F7" s="129">
        <v>529.80654966963039</v>
      </c>
    </row>
    <row r="8" spans="1:6" x14ac:dyDescent="0.25">
      <c r="A8" s="86" t="s">
        <v>519</v>
      </c>
      <c r="B8" t="s">
        <v>1697</v>
      </c>
      <c r="C8" s="129">
        <v>83.003838800321319</v>
      </c>
      <c r="D8" s="129">
        <v>83.003838800321319</v>
      </c>
      <c r="E8" s="129">
        <v>83.003838800321319</v>
      </c>
      <c r="F8" s="129">
        <v>83.003838800321319</v>
      </c>
    </row>
    <row r="9" spans="1:6" x14ac:dyDescent="0.25">
      <c r="A9" s="86" t="s">
        <v>520</v>
      </c>
      <c r="B9" t="s">
        <v>1698</v>
      </c>
      <c r="C9" s="129">
        <v>2224.5763712116041</v>
      </c>
      <c r="D9" s="129">
        <v>2224.5763712116041</v>
      </c>
      <c r="E9" s="129">
        <v>2224.5763712116041</v>
      </c>
      <c r="F9" s="129">
        <v>2224.5763712116041</v>
      </c>
    </row>
    <row r="10" spans="1:6" x14ac:dyDescent="0.25">
      <c r="A10" s="86" t="s">
        <v>522</v>
      </c>
      <c r="B10" t="s">
        <v>1699</v>
      </c>
      <c r="C10" s="129">
        <v>4.7837630004469229</v>
      </c>
      <c r="D10" s="129">
        <v>4.7837630004469229</v>
      </c>
      <c r="E10" s="129">
        <v>4.7837630004469229</v>
      </c>
      <c r="F10" s="129">
        <v>4.7837630004469229</v>
      </c>
    </row>
    <row r="11" spans="1:6" x14ac:dyDescent="0.25">
      <c r="A11" s="86" t="s">
        <v>524</v>
      </c>
      <c r="B11" t="s">
        <v>1700</v>
      </c>
      <c r="C11" s="129">
        <v>60</v>
      </c>
      <c r="D11" s="129">
        <v>22.453378000000001</v>
      </c>
      <c r="E11" s="129">
        <v>22.453378000000001</v>
      </c>
      <c r="F11" s="129">
        <v>22.453378000000001</v>
      </c>
    </row>
    <row r="12" spans="1:6" x14ac:dyDescent="0.25">
      <c r="A12" s="86" t="s">
        <v>525</v>
      </c>
      <c r="B12" t="s">
        <v>1701</v>
      </c>
      <c r="C12" s="129">
        <v>59.949750999999999</v>
      </c>
      <c r="D12" s="129">
        <v>59.949750999999999</v>
      </c>
      <c r="E12" s="129">
        <v>59.949750999999999</v>
      </c>
      <c r="F12" s="129">
        <v>59.949750999999999</v>
      </c>
    </row>
    <row r="13" spans="1:6" x14ac:dyDescent="0.25">
      <c r="A13" s="86" t="s">
        <v>527</v>
      </c>
      <c r="B13" t="s">
        <v>1702</v>
      </c>
      <c r="C13" s="129">
        <v>19.193054948730481</v>
      </c>
      <c r="D13" s="129">
        <v>19.193054948730481</v>
      </c>
      <c r="E13" s="129">
        <v>19.193054948730481</v>
      </c>
      <c r="F13" s="129">
        <v>19.193054948730481</v>
      </c>
    </row>
    <row r="14" spans="1:6" x14ac:dyDescent="0.25">
      <c r="A14" s="86" t="s">
        <v>529</v>
      </c>
      <c r="B14" t="s">
        <v>1703</v>
      </c>
      <c r="C14" s="129">
        <v>2137</v>
      </c>
      <c r="D14" s="129">
        <v>48.627132024206681</v>
      </c>
      <c r="E14" s="129">
        <v>48.627132024206681</v>
      </c>
      <c r="F14" s="129">
        <v>48.627132024206681</v>
      </c>
    </row>
    <row r="15" spans="1:6" x14ac:dyDescent="0.25">
      <c r="A15" s="86" t="s">
        <v>531</v>
      </c>
      <c r="B15" t="s">
        <v>1704</v>
      </c>
      <c r="C15" s="129">
        <v>232.83648651506999</v>
      </c>
      <c r="D15" s="129">
        <v>232.83648651506999</v>
      </c>
      <c r="E15" s="129">
        <v>232.83648651506999</v>
      </c>
      <c r="F15" s="129">
        <v>232.83648651506999</v>
      </c>
    </row>
    <row r="16" spans="1:6" x14ac:dyDescent="0.25">
      <c r="A16" s="86" t="s">
        <v>533</v>
      </c>
      <c r="B16" t="s">
        <v>1705</v>
      </c>
      <c r="C16" s="129">
        <v>338.91203124399999</v>
      </c>
      <c r="D16" s="129">
        <v>338.91203124399999</v>
      </c>
      <c r="E16" s="129">
        <v>338.91203124399999</v>
      </c>
      <c r="F16" s="129">
        <v>338.91203124399999</v>
      </c>
    </row>
    <row r="17" spans="1:6" x14ac:dyDescent="0.25">
      <c r="A17" s="86" t="s">
        <v>534</v>
      </c>
      <c r="B17" t="s">
        <v>1706</v>
      </c>
      <c r="C17" s="129">
        <v>48.236362642067888</v>
      </c>
      <c r="D17" s="129">
        <v>48.236362642067888</v>
      </c>
      <c r="E17" s="129">
        <v>48.236362642067903</v>
      </c>
      <c r="F17" s="129">
        <v>48.236362642067903</v>
      </c>
    </row>
    <row r="18" spans="1:6" x14ac:dyDescent="0.25">
      <c r="A18" s="86" t="s">
        <v>535</v>
      </c>
      <c r="B18" t="s">
        <v>1707</v>
      </c>
      <c r="C18" s="129">
        <v>16.296271384689621</v>
      </c>
      <c r="D18" s="129">
        <v>16.296271384689621</v>
      </c>
      <c r="E18" s="129">
        <v>16.296271384689621</v>
      </c>
      <c r="F18" s="129">
        <v>16.296271384689621</v>
      </c>
    </row>
    <row r="19" spans="1:6" x14ac:dyDescent="0.25">
      <c r="A19" s="86" t="s">
        <v>537</v>
      </c>
      <c r="B19" t="s">
        <v>1708</v>
      </c>
      <c r="C19" s="129">
        <v>404.89298109864274</v>
      </c>
      <c r="D19" s="129">
        <v>404.89298109864274</v>
      </c>
      <c r="E19" s="129">
        <v>404.89298109864274</v>
      </c>
      <c r="F19" s="129">
        <v>404.89298109864274</v>
      </c>
    </row>
    <row r="20" spans="1:6" x14ac:dyDescent="0.25">
      <c r="C20" s="129">
        <f>SUBTOTAL(109,MTEFProgram[20-21])</f>
        <v>9410.016388921882</v>
      </c>
      <c r="D20" s="129">
        <f>SUBTOTAL(109,MTEFProgram[21-22])</f>
        <v>7284.0968989460871</v>
      </c>
      <c r="E20" s="129">
        <f>SUBTOTAL(109,MTEFProgram[22-23])</f>
        <v>7284.096898946088</v>
      </c>
      <c r="F20" s="129">
        <f>SUBTOTAL(109,MTEFProgram[23-24])</f>
        <v>7284.096898946088</v>
      </c>
    </row>
  </sheetData>
  <phoneticPr fontId="3"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9"/>
  <sheetViews>
    <sheetView workbookViewId="0">
      <selection activeCell="C19" sqref="C19"/>
    </sheetView>
  </sheetViews>
  <sheetFormatPr defaultRowHeight="15" x14ac:dyDescent="0.25"/>
  <cols>
    <col min="3" max="3" width="46.5703125" bestFit="1" customWidth="1"/>
  </cols>
  <sheetData>
    <row r="2" spans="2:4" x14ac:dyDescent="0.25">
      <c r="B2" t="s">
        <v>511</v>
      </c>
      <c r="C2" t="s">
        <v>928</v>
      </c>
      <c r="D2" t="s">
        <v>511</v>
      </c>
    </row>
    <row r="3" spans="2:4" x14ac:dyDescent="0.25">
      <c r="B3" t="s">
        <v>512</v>
      </c>
      <c r="C3" t="s">
        <v>936</v>
      </c>
      <c r="D3" t="s">
        <v>512</v>
      </c>
    </row>
    <row r="4" spans="2:4" x14ac:dyDescent="0.25">
      <c r="B4" t="s">
        <v>513</v>
      </c>
      <c r="C4" t="s">
        <v>943</v>
      </c>
      <c r="D4" t="s">
        <v>513</v>
      </c>
    </row>
    <row r="5" spans="2:4" x14ac:dyDescent="0.25">
      <c r="B5" t="s">
        <v>515</v>
      </c>
      <c r="C5" t="s">
        <v>947</v>
      </c>
      <c r="D5" t="s">
        <v>515</v>
      </c>
    </row>
    <row r="6" spans="2:4" x14ac:dyDescent="0.25">
      <c r="B6" t="s">
        <v>516</v>
      </c>
      <c r="C6" t="s">
        <v>953</v>
      </c>
      <c r="D6" t="s">
        <v>516</v>
      </c>
    </row>
    <row r="7" spans="2:4" x14ac:dyDescent="0.25">
      <c r="B7" t="s">
        <v>518</v>
      </c>
      <c r="C7" t="s">
        <v>962</v>
      </c>
      <c r="D7" t="s">
        <v>518</v>
      </c>
    </row>
    <row r="8" spans="2:4" x14ac:dyDescent="0.25">
      <c r="B8" t="s">
        <v>519</v>
      </c>
      <c r="C8" t="s">
        <v>1000</v>
      </c>
      <c r="D8" t="s">
        <v>519</v>
      </c>
    </row>
    <row r="9" spans="2:4" x14ac:dyDescent="0.25">
      <c r="B9" t="s">
        <v>520</v>
      </c>
      <c r="C9" t="s">
        <v>1007</v>
      </c>
      <c r="D9" t="s">
        <v>520</v>
      </c>
    </row>
    <row r="10" spans="2:4" x14ac:dyDescent="0.25">
      <c r="B10" t="s">
        <v>522</v>
      </c>
      <c r="C10" t="s">
        <v>1088</v>
      </c>
      <c r="D10" t="s">
        <v>522</v>
      </c>
    </row>
    <row r="11" spans="2:4" x14ac:dyDescent="0.25">
      <c r="B11" t="s">
        <v>524</v>
      </c>
      <c r="C11" t="s">
        <v>1093</v>
      </c>
      <c r="D11" t="s">
        <v>524</v>
      </c>
    </row>
    <row r="12" spans="2:4" x14ac:dyDescent="0.25">
      <c r="B12" t="s">
        <v>525</v>
      </c>
      <c r="C12" t="s">
        <v>1095</v>
      </c>
      <c r="D12" t="s">
        <v>525</v>
      </c>
    </row>
    <row r="13" spans="2:4" x14ac:dyDescent="0.25">
      <c r="B13" t="s">
        <v>527</v>
      </c>
      <c r="C13" t="s">
        <v>1107</v>
      </c>
      <c r="D13" t="s">
        <v>527</v>
      </c>
    </row>
    <row r="14" spans="2:4" x14ac:dyDescent="0.25">
      <c r="B14" t="s">
        <v>529</v>
      </c>
      <c r="C14" t="s">
        <v>1113</v>
      </c>
      <c r="D14" t="s">
        <v>529</v>
      </c>
    </row>
    <row r="15" spans="2:4" x14ac:dyDescent="0.25">
      <c r="B15" t="s">
        <v>531</v>
      </c>
      <c r="C15" t="s">
        <v>1238</v>
      </c>
      <c r="D15" t="s">
        <v>531</v>
      </c>
    </row>
    <row r="16" spans="2:4" x14ac:dyDescent="0.25">
      <c r="B16" t="s">
        <v>533</v>
      </c>
      <c r="C16" t="s">
        <v>1251</v>
      </c>
      <c r="D16" t="s">
        <v>533</v>
      </c>
    </row>
    <row r="17" spans="2:4" x14ac:dyDescent="0.25">
      <c r="B17" t="s">
        <v>534</v>
      </c>
      <c r="C17" t="s">
        <v>1493</v>
      </c>
      <c r="D17" t="s">
        <v>534</v>
      </c>
    </row>
    <row r="18" spans="2:4" x14ac:dyDescent="0.25">
      <c r="B18" t="s">
        <v>535</v>
      </c>
      <c r="C18" t="s">
        <v>1267</v>
      </c>
      <c r="D18" t="s">
        <v>535</v>
      </c>
    </row>
    <row r="19" spans="2:4" x14ac:dyDescent="0.25">
      <c r="B19" t="s">
        <v>537</v>
      </c>
      <c r="C19" t="s">
        <v>1272</v>
      </c>
      <c r="D19" t="s">
        <v>537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A217"/>
  <sheetViews>
    <sheetView zoomScale="90" zoomScaleNormal="90" workbookViewId="0">
      <pane xSplit="6" ySplit="1" topLeftCell="N32" activePane="bottomRight" state="frozen"/>
      <selection pane="topRight" activeCell="G1" sqref="G1"/>
      <selection pane="bottomLeft" activeCell="A2" sqref="A2"/>
      <selection pane="bottomRight" activeCell="Q45" sqref="Q45:Q46"/>
    </sheetView>
  </sheetViews>
  <sheetFormatPr defaultRowHeight="15" x14ac:dyDescent="0.25"/>
  <cols>
    <col min="1" max="1" width="13.85546875" customWidth="1"/>
    <col min="2" max="2" width="61.140625" customWidth="1"/>
    <col min="3" max="3" width="53" hidden="1" customWidth="1"/>
    <col min="4" max="5" width="8.28515625" customWidth="1"/>
    <col min="6" max="6" width="42.140625" customWidth="1"/>
    <col min="7" max="7" width="16.85546875" customWidth="1"/>
    <col min="8" max="8" width="10.85546875" customWidth="1"/>
    <col min="9" max="9" width="11.28515625" customWidth="1"/>
    <col min="10" max="10" width="14.42578125" customWidth="1"/>
    <col min="11" max="11" width="20.140625" customWidth="1"/>
    <col min="12" max="12" width="28.140625" customWidth="1"/>
    <col min="13" max="13" width="26.85546875" customWidth="1"/>
    <col min="14" max="15" width="46.7109375" customWidth="1"/>
    <col min="16" max="16" width="42.7109375" customWidth="1"/>
    <col min="17" max="17" width="46.7109375" customWidth="1"/>
    <col min="18" max="21" width="15.5703125" bestFit="1" customWidth="1"/>
    <col min="22" max="22" width="25.42578125" customWidth="1"/>
    <col min="23" max="23" width="20.42578125" customWidth="1"/>
    <col min="24" max="24" width="46.5703125" customWidth="1"/>
    <col min="25" max="25" width="46.7109375" customWidth="1"/>
    <col min="26" max="26" width="23.7109375" customWidth="1"/>
    <col min="27" max="27" width="34.42578125" customWidth="1"/>
  </cols>
  <sheetData>
    <row r="1" spans="1:27" s="15" customFormat="1" x14ac:dyDescent="0.25">
      <c r="A1" s="15" t="s">
        <v>333</v>
      </c>
      <c r="B1" s="15" t="s">
        <v>1</v>
      </c>
      <c r="C1" s="15" t="s">
        <v>1496</v>
      </c>
      <c r="D1" s="15" t="s">
        <v>31</v>
      </c>
      <c r="E1" s="15" t="s">
        <v>1512</v>
      </c>
      <c r="F1" s="15" t="s">
        <v>1626</v>
      </c>
      <c r="G1" s="15" t="s">
        <v>2</v>
      </c>
      <c r="H1" s="15" t="s">
        <v>3</v>
      </c>
      <c r="I1" s="15" t="s">
        <v>4</v>
      </c>
      <c r="J1" s="15" t="s">
        <v>5</v>
      </c>
      <c r="K1" s="15" t="s">
        <v>6</v>
      </c>
      <c r="L1" s="15" t="s">
        <v>7</v>
      </c>
      <c r="M1" s="15" t="s">
        <v>8</v>
      </c>
      <c r="N1" s="15" t="s">
        <v>334</v>
      </c>
      <c r="O1" s="15" t="s">
        <v>335</v>
      </c>
      <c r="P1" s="15" t="s">
        <v>336</v>
      </c>
      <c r="Q1" s="15" t="s">
        <v>337</v>
      </c>
      <c r="R1" s="15" t="s">
        <v>9</v>
      </c>
      <c r="S1" s="15" t="s">
        <v>10</v>
      </c>
      <c r="T1" s="15" t="s">
        <v>11</v>
      </c>
      <c r="U1" s="15" t="s">
        <v>12</v>
      </c>
      <c r="V1" s="15" t="s">
        <v>13</v>
      </c>
      <c r="W1" s="15" t="s">
        <v>14</v>
      </c>
      <c r="X1" s="15" t="s">
        <v>15</v>
      </c>
      <c r="Y1" s="15" t="s">
        <v>338</v>
      </c>
      <c r="Z1" s="15" t="s">
        <v>16</v>
      </c>
      <c r="AA1" s="15" t="s">
        <v>17</v>
      </c>
    </row>
    <row r="2" spans="1:27" x14ac:dyDescent="0.25">
      <c r="A2" t="s">
        <v>339</v>
      </c>
      <c r="B2" t="s">
        <v>34</v>
      </c>
      <c r="C2" t="str">
        <f>VLOOKUP(MasterTable[[#This Row],[Project Code and Name ]],PAProjects[LINKING_CODE],1,FALSE)</f>
        <v>1143 Isimba HPP</v>
      </c>
      <c r="D2" t="s">
        <v>66</v>
      </c>
      <c r="E2" t="str">
        <f>VLOOKUP(MasterTable[[#This Row],[Vote]],'MTEF 21-22'!A:B,2,FALSE)</f>
        <v>Ministry of Energy and Mineral Development</v>
      </c>
      <c r="F2" t="str">
        <f>CONCATENATE(MasterTable[[#This Row],[Vote]]," ",MasterTable[[#This Row],[Vote Name]])</f>
        <v>017 Ministry of Energy and Mineral Development</v>
      </c>
      <c r="G2" t="s">
        <v>19</v>
      </c>
      <c r="H2" s="16">
        <v>41091</v>
      </c>
      <c r="I2" s="16">
        <v>44742</v>
      </c>
      <c r="J2" t="s">
        <v>35</v>
      </c>
      <c r="K2" t="s">
        <v>36</v>
      </c>
      <c r="L2" s="17">
        <v>306180000000</v>
      </c>
      <c r="M2" s="17">
        <v>18931000000</v>
      </c>
      <c r="N2" s="17">
        <v>0</v>
      </c>
      <c r="O2" s="17">
        <v>18560000000</v>
      </c>
      <c r="P2" s="17"/>
      <c r="Q2" s="17">
        <v>18560000000</v>
      </c>
      <c r="R2" s="17">
        <v>0</v>
      </c>
      <c r="S2" s="17">
        <v>0</v>
      </c>
      <c r="T2" s="17">
        <v>0</v>
      </c>
      <c r="U2" s="17">
        <v>0</v>
      </c>
      <c r="V2" s="17"/>
      <c r="W2" s="17">
        <v>343671000000</v>
      </c>
      <c r="X2" s="17">
        <v>1764000000000</v>
      </c>
      <c r="Y2" t="s">
        <v>37</v>
      </c>
      <c r="AA2" t="s">
        <v>23</v>
      </c>
    </row>
    <row r="3" spans="1:27" x14ac:dyDescent="0.25">
      <c r="A3" t="s">
        <v>339</v>
      </c>
      <c r="B3" t="s">
        <v>34</v>
      </c>
      <c r="C3" t="str">
        <f>VLOOKUP(MasterTable[[#This Row],[Project Code and Name ]],PAProjects[LINKING_CODE],1,FALSE)</f>
        <v>1143 Isimba HPP</v>
      </c>
      <c r="D3" t="s">
        <v>66</v>
      </c>
      <c r="E3" t="str">
        <f>VLOOKUP(MasterTable[[#This Row],[Vote]],'MTEF 21-22'!A:B,2,FALSE)</f>
        <v>Ministry of Energy and Mineral Development</v>
      </c>
      <c r="F3" t="str">
        <f>CONCATENATE(MasterTable[[#This Row],[Vote]]," ",MasterTable[[#This Row],[Vote Name]])</f>
        <v>017 Ministry of Energy and Mineral Development</v>
      </c>
      <c r="G3" t="s">
        <v>25</v>
      </c>
      <c r="H3" s="16">
        <v>41091</v>
      </c>
      <c r="I3" s="16">
        <v>44742</v>
      </c>
      <c r="J3" t="s">
        <v>35</v>
      </c>
      <c r="K3" t="s">
        <v>36</v>
      </c>
      <c r="L3" s="17">
        <v>1580400000000</v>
      </c>
      <c r="M3" s="17">
        <v>165040000000</v>
      </c>
      <c r="N3" s="17"/>
      <c r="O3" s="17">
        <v>0</v>
      </c>
      <c r="P3" s="17">
        <v>110710000000</v>
      </c>
      <c r="Q3" s="17">
        <v>110710000000</v>
      </c>
      <c r="R3" s="17">
        <v>0</v>
      </c>
      <c r="S3" s="17">
        <v>0</v>
      </c>
      <c r="T3" s="17">
        <v>0</v>
      </c>
      <c r="U3" s="17">
        <v>0</v>
      </c>
      <c r="V3" s="17"/>
      <c r="W3" s="17">
        <v>1856150000000</v>
      </c>
      <c r="X3" s="17"/>
      <c r="Y3" t="s">
        <v>37</v>
      </c>
      <c r="AA3" t="s">
        <v>28</v>
      </c>
    </row>
    <row r="4" spans="1:27" x14ac:dyDescent="0.25">
      <c r="A4" t="s">
        <v>339</v>
      </c>
      <c r="B4" t="s">
        <v>38</v>
      </c>
      <c r="C4" t="str">
        <f>VLOOKUP(MasterTable[[#This Row],[Project Code and Name ]],PAProjects[LINKING_CODE],1,FALSE)</f>
        <v>1183 Karuma Hydoelectricity Power Project</v>
      </c>
      <c r="D4" t="s">
        <v>66</v>
      </c>
      <c r="E4" t="str">
        <f>VLOOKUP(MasterTable[[#This Row],[Vote]],'MTEF 21-22'!A:B,2,FALSE)</f>
        <v>Ministry of Energy and Mineral Development</v>
      </c>
      <c r="F4" t="str">
        <f>CONCATENATE(MasterTable[[#This Row],[Vote]]," ",MasterTable[[#This Row],[Vote Name]])</f>
        <v>017 Ministry of Energy and Mineral Development</v>
      </c>
      <c r="G4" t="s">
        <v>19</v>
      </c>
      <c r="H4" s="16">
        <v>40706</v>
      </c>
      <c r="I4" s="16">
        <v>44742</v>
      </c>
      <c r="J4" t="s">
        <v>20</v>
      </c>
      <c r="K4" t="s">
        <v>36</v>
      </c>
      <c r="L4" s="17">
        <v>911520000000</v>
      </c>
      <c r="M4" s="17">
        <v>29000000000</v>
      </c>
      <c r="N4" s="17">
        <v>0</v>
      </c>
      <c r="O4" s="17">
        <v>31000000000</v>
      </c>
      <c r="P4" s="17"/>
      <c r="Q4" s="17">
        <v>31000000000</v>
      </c>
      <c r="R4" s="17"/>
      <c r="S4" s="17"/>
      <c r="T4" s="17"/>
      <c r="U4" s="17"/>
      <c r="V4" s="17"/>
      <c r="W4" s="17">
        <v>971520000000</v>
      </c>
      <c r="X4" s="17">
        <v>5400000000000</v>
      </c>
      <c r="Y4" t="s">
        <v>37</v>
      </c>
    </row>
    <row r="5" spans="1:27" x14ac:dyDescent="0.25">
      <c r="A5" t="s">
        <v>339</v>
      </c>
      <c r="B5" t="s">
        <v>38</v>
      </c>
      <c r="C5" t="str">
        <f>VLOOKUP(MasterTable[[#This Row],[Project Code and Name ]],PAProjects[LINKING_CODE],1,FALSE)</f>
        <v>1183 Karuma Hydoelectricity Power Project</v>
      </c>
      <c r="D5" t="s">
        <v>66</v>
      </c>
      <c r="E5" t="str">
        <f>VLOOKUP(MasterTable[[#This Row],[Vote]],'MTEF 21-22'!A:B,2,FALSE)</f>
        <v>Ministry of Energy and Mineral Development</v>
      </c>
      <c r="F5" t="str">
        <f>CONCATENATE(MasterTable[[#This Row],[Vote]]," ",MasterTable[[#This Row],[Vote Name]])</f>
        <v>017 Ministry of Energy and Mineral Development</v>
      </c>
      <c r="G5" t="s">
        <v>25</v>
      </c>
      <c r="H5" s="16">
        <v>40706</v>
      </c>
      <c r="I5" s="16">
        <v>44742</v>
      </c>
      <c r="J5" t="s">
        <v>20</v>
      </c>
      <c r="K5" t="s">
        <v>36</v>
      </c>
      <c r="L5" s="17">
        <v>4492800000000</v>
      </c>
      <c r="M5" s="17">
        <v>654690000000</v>
      </c>
      <c r="N5" s="17">
        <v>0</v>
      </c>
      <c r="O5" s="17">
        <v>0</v>
      </c>
      <c r="P5" s="17">
        <v>0</v>
      </c>
      <c r="Q5" s="17">
        <v>0</v>
      </c>
      <c r="R5" s="17">
        <v>0</v>
      </c>
      <c r="S5" s="17">
        <v>0</v>
      </c>
      <c r="T5" s="17">
        <v>0</v>
      </c>
      <c r="U5" s="17"/>
      <c r="V5" s="17"/>
      <c r="W5" s="17">
        <v>5147490000000</v>
      </c>
      <c r="X5" s="17"/>
      <c r="Y5" t="s">
        <v>37</v>
      </c>
    </row>
    <row r="6" spans="1:27" x14ac:dyDescent="0.25">
      <c r="A6" t="s">
        <v>339</v>
      </c>
      <c r="B6" t="s">
        <v>39</v>
      </c>
      <c r="C6" t="str">
        <f>VLOOKUP(MasterTable[[#This Row],[Project Code and Name ]],PAProjects[LINKING_CODE],1,FALSE)</f>
        <v>1350 Muzizi Hydro Power Project</v>
      </c>
      <c r="D6" t="s">
        <v>66</v>
      </c>
      <c r="E6" t="str">
        <f>VLOOKUP(MasterTable[[#This Row],[Vote]],'MTEF 21-22'!A:B,2,FALSE)</f>
        <v>Ministry of Energy and Mineral Development</v>
      </c>
      <c r="F6" t="str">
        <f>CONCATENATE(MasterTable[[#This Row],[Vote]]," ",MasterTable[[#This Row],[Vote Name]])</f>
        <v>017 Ministry of Energy and Mineral Development</v>
      </c>
      <c r="G6" t="s">
        <v>19</v>
      </c>
      <c r="H6" s="16">
        <v>42186</v>
      </c>
      <c r="I6" s="16">
        <v>44742</v>
      </c>
      <c r="J6" t="s">
        <v>40</v>
      </c>
      <c r="K6" t="s">
        <v>36</v>
      </c>
      <c r="L6" s="17">
        <v>13840000000</v>
      </c>
      <c r="M6" s="17">
        <v>2517000000</v>
      </c>
      <c r="N6" s="17">
        <v>0</v>
      </c>
      <c r="O6" s="17">
        <v>2517000000</v>
      </c>
      <c r="P6" s="17"/>
      <c r="Q6" s="17">
        <v>2517000000</v>
      </c>
      <c r="R6" s="17">
        <v>0</v>
      </c>
      <c r="S6" s="17">
        <v>0</v>
      </c>
      <c r="T6" s="17">
        <v>0</v>
      </c>
      <c r="U6" s="17"/>
      <c r="V6" s="17"/>
      <c r="W6" s="17">
        <v>18874000000</v>
      </c>
      <c r="X6" s="17">
        <v>319000000000</v>
      </c>
      <c r="Y6" t="s">
        <v>37</v>
      </c>
    </row>
    <row r="7" spans="1:27" x14ac:dyDescent="0.25">
      <c r="A7" t="s">
        <v>339</v>
      </c>
      <c r="B7" t="s">
        <v>39</v>
      </c>
      <c r="C7" t="str">
        <f>VLOOKUP(MasterTable[[#This Row],[Project Code and Name ]],PAProjects[LINKING_CODE],1,FALSE)</f>
        <v>1350 Muzizi Hydro Power Project</v>
      </c>
      <c r="D7" t="s">
        <v>66</v>
      </c>
      <c r="E7" t="str">
        <f>VLOOKUP(MasterTable[[#This Row],[Vote]],'MTEF 21-22'!A:B,2,FALSE)</f>
        <v>Ministry of Energy and Mineral Development</v>
      </c>
      <c r="F7" t="str">
        <f>CONCATENATE(MasterTable[[#This Row],[Vote]]," ",MasterTable[[#This Row],[Vote Name]])</f>
        <v>017 Ministry of Energy and Mineral Development</v>
      </c>
      <c r="G7" t="s">
        <v>25</v>
      </c>
      <c r="H7" s="16">
        <v>42186</v>
      </c>
      <c r="I7" s="16">
        <v>44742</v>
      </c>
      <c r="J7" t="s">
        <v>40</v>
      </c>
      <c r="K7" t="s">
        <v>36</v>
      </c>
      <c r="L7" s="17">
        <v>2510000000</v>
      </c>
      <c r="M7" s="17">
        <v>114990000000</v>
      </c>
      <c r="N7" s="17"/>
      <c r="O7" s="17"/>
      <c r="P7" s="17">
        <v>15390000000</v>
      </c>
      <c r="Q7" s="17">
        <v>15390000000</v>
      </c>
      <c r="R7" s="17">
        <v>0</v>
      </c>
      <c r="S7" s="17">
        <v>0</v>
      </c>
      <c r="T7" s="17">
        <v>0</v>
      </c>
      <c r="U7" s="17"/>
      <c r="V7" s="17"/>
      <c r="W7" s="17">
        <v>132890000000</v>
      </c>
      <c r="X7" s="17"/>
      <c r="Y7" t="s">
        <v>37</v>
      </c>
    </row>
    <row r="8" spans="1:27" x14ac:dyDescent="0.25">
      <c r="A8" t="s">
        <v>339</v>
      </c>
      <c r="B8" t="s">
        <v>41</v>
      </c>
      <c r="C8" t="str">
        <f>VLOOKUP(MasterTable[[#This Row],[Project Code and Name ]],PAProjects[LINKING_CODE],1,FALSE)</f>
        <v>1351 Nyagak III Hydro Power Project</v>
      </c>
      <c r="D8" t="s">
        <v>66</v>
      </c>
      <c r="E8" t="str">
        <f>VLOOKUP(MasterTable[[#This Row],[Vote]],'MTEF 21-22'!A:B,2,FALSE)</f>
        <v>Ministry of Energy and Mineral Development</v>
      </c>
      <c r="F8" t="str">
        <f>CONCATENATE(MasterTable[[#This Row],[Vote]]," ",MasterTable[[#This Row],[Vote Name]])</f>
        <v>017 Ministry of Energy and Mineral Development</v>
      </c>
      <c r="G8" t="s">
        <v>19</v>
      </c>
      <c r="H8" s="16">
        <v>42186</v>
      </c>
      <c r="I8" s="16">
        <v>44742</v>
      </c>
      <c r="J8" t="s">
        <v>20</v>
      </c>
      <c r="K8" t="s">
        <v>36</v>
      </c>
      <c r="L8" s="17">
        <v>6500000000</v>
      </c>
      <c r="M8" s="17">
        <v>12293211000</v>
      </c>
      <c r="N8" s="17">
        <v>0</v>
      </c>
      <c r="O8" s="17">
        <v>12293211000</v>
      </c>
      <c r="P8" s="17"/>
      <c r="Q8" s="17">
        <v>12293211000</v>
      </c>
      <c r="R8" s="17">
        <v>0</v>
      </c>
      <c r="S8" s="17">
        <v>0</v>
      </c>
      <c r="T8" s="17">
        <v>0</v>
      </c>
      <c r="U8" s="17"/>
      <c r="V8" s="17"/>
      <c r="W8" s="17">
        <v>31086422000</v>
      </c>
      <c r="X8" s="17">
        <v>67150000000</v>
      </c>
      <c r="Y8" t="s">
        <v>37</v>
      </c>
    </row>
    <row r="9" spans="1:27" x14ac:dyDescent="0.25">
      <c r="A9" t="s">
        <v>339</v>
      </c>
      <c r="B9" t="s">
        <v>42</v>
      </c>
      <c r="C9" t="str">
        <f>VLOOKUP(MasterTable[[#This Row],[Project Code and Name ]],PAProjects[LINKING_CODE],1,FALSE)</f>
        <v>1221 Opuyo Moroto Interconnection Project</v>
      </c>
      <c r="D9" t="s">
        <v>66</v>
      </c>
      <c r="E9" t="str">
        <f>VLOOKUP(MasterTable[[#This Row],[Vote]],'MTEF 21-22'!A:B,2,FALSE)</f>
        <v>Ministry of Energy and Mineral Development</v>
      </c>
      <c r="F9" t="str">
        <f>CONCATENATE(MasterTable[[#This Row],[Vote]]," ",MasterTable[[#This Row],[Vote Name]])</f>
        <v>017 Ministry of Energy and Mineral Development</v>
      </c>
      <c r="G9" t="s">
        <v>19</v>
      </c>
      <c r="H9" s="16">
        <v>41030</v>
      </c>
      <c r="I9" s="16">
        <v>44742</v>
      </c>
      <c r="J9" t="s">
        <v>35</v>
      </c>
      <c r="K9" t="s">
        <v>36</v>
      </c>
      <c r="L9" s="17">
        <v>14270000000</v>
      </c>
      <c r="M9" s="17">
        <v>2000000000</v>
      </c>
      <c r="N9" s="17"/>
      <c r="O9" s="17">
        <v>1500000000</v>
      </c>
      <c r="P9" s="17"/>
      <c r="Q9" s="17">
        <v>1500000000</v>
      </c>
      <c r="R9" s="17">
        <v>0</v>
      </c>
      <c r="S9" s="17">
        <v>0</v>
      </c>
      <c r="T9" s="17">
        <v>0</v>
      </c>
      <c r="U9" s="17"/>
      <c r="V9" s="17"/>
      <c r="W9" s="17">
        <v>17770000000</v>
      </c>
      <c r="X9" s="17">
        <v>202000000000</v>
      </c>
      <c r="Y9" t="s">
        <v>37</v>
      </c>
    </row>
    <row r="10" spans="1:27" x14ac:dyDescent="0.25">
      <c r="A10" t="s">
        <v>339</v>
      </c>
      <c r="B10" t="s">
        <v>42</v>
      </c>
      <c r="C10" t="str">
        <f>VLOOKUP(MasterTable[[#This Row],[Project Code and Name ]],PAProjects[LINKING_CODE],1,FALSE)</f>
        <v>1221 Opuyo Moroto Interconnection Project</v>
      </c>
      <c r="D10" t="s">
        <v>66</v>
      </c>
      <c r="E10" t="str">
        <f>VLOOKUP(MasterTable[[#This Row],[Vote]],'MTEF 21-22'!A:B,2,FALSE)</f>
        <v>Ministry of Energy and Mineral Development</v>
      </c>
      <c r="F10" t="str">
        <f>CONCATENATE(MasterTable[[#This Row],[Vote]]," ",MasterTable[[#This Row],[Vote Name]])</f>
        <v>017 Ministry of Energy and Mineral Development</v>
      </c>
      <c r="G10" t="s">
        <v>25</v>
      </c>
      <c r="H10" s="16">
        <v>41030</v>
      </c>
      <c r="I10" s="16">
        <v>44742</v>
      </c>
      <c r="J10" t="s">
        <v>35</v>
      </c>
      <c r="K10" t="s">
        <v>36</v>
      </c>
      <c r="L10" s="17">
        <v>91679539600</v>
      </c>
      <c r="M10" s="17">
        <v>19190000000</v>
      </c>
      <c r="N10" s="17"/>
      <c r="O10" s="17"/>
      <c r="P10" s="17">
        <v>0</v>
      </c>
      <c r="Q10" s="17">
        <v>0</v>
      </c>
      <c r="R10" s="17">
        <v>0</v>
      </c>
      <c r="S10" s="17">
        <v>0</v>
      </c>
      <c r="T10" s="17">
        <v>0</v>
      </c>
      <c r="U10" s="17"/>
      <c r="V10" s="17"/>
      <c r="W10" s="17">
        <v>110869539600</v>
      </c>
      <c r="X10" s="17"/>
      <c r="Y10" t="s">
        <v>37</v>
      </c>
    </row>
    <row r="11" spans="1:27" x14ac:dyDescent="0.25">
      <c r="A11" t="s">
        <v>339</v>
      </c>
      <c r="B11" t="s">
        <v>43</v>
      </c>
      <c r="C11" t="str">
        <f>VLOOKUP(MasterTable[[#This Row],[Project Code and Name ]],PAProjects[LINKING_CODE],1,FALSE)</f>
        <v>1259 Kampala-Entebbe Expansion Project</v>
      </c>
      <c r="D11" t="s">
        <v>66</v>
      </c>
      <c r="E11" t="str">
        <f>VLOOKUP(MasterTable[[#This Row],[Vote]],'MTEF 21-22'!A:B,2,FALSE)</f>
        <v>Ministry of Energy and Mineral Development</v>
      </c>
      <c r="F11" t="str">
        <f>CONCATENATE(MasterTable[[#This Row],[Vote]]," ",MasterTable[[#This Row],[Vote Name]])</f>
        <v>017 Ministry of Energy and Mineral Development</v>
      </c>
      <c r="G11" t="s">
        <v>19</v>
      </c>
      <c r="H11" s="16">
        <v>41456</v>
      </c>
      <c r="I11" s="16">
        <v>44742</v>
      </c>
      <c r="J11" t="s">
        <v>20</v>
      </c>
      <c r="K11" t="s">
        <v>36</v>
      </c>
      <c r="L11" s="17">
        <v>85800000000</v>
      </c>
      <c r="M11" s="17">
        <v>2000000000</v>
      </c>
      <c r="N11" s="17"/>
      <c r="O11" s="17">
        <v>6600000000</v>
      </c>
      <c r="P11" s="17"/>
      <c r="Q11" s="17">
        <v>6600000000</v>
      </c>
      <c r="R11" s="17">
        <v>0</v>
      </c>
      <c r="S11" s="17">
        <v>0</v>
      </c>
      <c r="T11" s="17">
        <v>0</v>
      </c>
      <c r="U11" s="17"/>
      <c r="V11" s="17"/>
      <c r="W11" s="17">
        <v>94400000000</v>
      </c>
      <c r="X11" s="17">
        <v>79680000000</v>
      </c>
      <c r="Y11" t="s">
        <v>37</v>
      </c>
    </row>
    <row r="12" spans="1:27" x14ac:dyDescent="0.25">
      <c r="A12" t="s">
        <v>339</v>
      </c>
      <c r="B12" t="s">
        <v>43</v>
      </c>
      <c r="C12" t="str">
        <f>VLOOKUP(MasterTable[[#This Row],[Project Code and Name ]],PAProjects[LINKING_CODE],1,FALSE)</f>
        <v>1259 Kampala-Entebbe Expansion Project</v>
      </c>
      <c r="D12" t="s">
        <v>66</v>
      </c>
      <c r="E12" t="str">
        <f>VLOOKUP(MasterTable[[#This Row],[Vote]],'MTEF 21-22'!A:B,2,FALSE)</f>
        <v>Ministry of Energy and Mineral Development</v>
      </c>
      <c r="F12" t="str">
        <f>CONCATENATE(MasterTable[[#This Row],[Vote]]," ",MasterTable[[#This Row],[Vote Name]])</f>
        <v>017 Ministry of Energy and Mineral Development</v>
      </c>
      <c r="G12" t="s">
        <v>25</v>
      </c>
      <c r="H12" s="16">
        <v>41456</v>
      </c>
      <c r="I12" s="16">
        <v>44742</v>
      </c>
      <c r="J12" t="s">
        <v>20</v>
      </c>
      <c r="K12" t="s">
        <v>36</v>
      </c>
      <c r="L12" s="17">
        <v>61230000000</v>
      </c>
      <c r="M12" s="17">
        <v>20110000000</v>
      </c>
      <c r="N12" s="17"/>
      <c r="O12" s="17"/>
      <c r="P12" s="17">
        <v>7690000000</v>
      </c>
      <c r="Q12" s="17">
        <v>7690000000</v>
      </c>
      <c r="R12" s="17">
        <v>0</v>
      </c>
      <c r="S12" s="17">
        <v>0</v>
      </c>
      <c r="T12" s="17">
        <v>0</v>
      </c>
      <c r="U12" s="17"/>
      <c r="V12" s="17"/>
      <c r="W12" s="17">
        <v>89030000000</v>
      </c>
      <c r="X12" s="17"/>
      <c r="Y12" t="s">
        <v>37</v>
      </c>
    </row>
    <row r="13" spans="1:27" x14ac:dyDescent="0.25">
      <c r="A13" t="s">
        <v>339</v>
      </c>
      <c r="B13" t="s">
        <v>44</v>
      </c>
      <c r="C13" t="str">
        <f>VLOOKUP(MasterTable[[#This Row],[Project Code and Name ]],PAProjects[LINKING_CODE],1,FALSE)</f>
        <v>1388 Mbale-Bulambuli (Atari) 132KV transmission line and Associated Substation</v>
      </c>
      <c r="D13" t="s">
        <v>66</v>
      </c>
      <c r="E13" t="str">
        <f>VLOOKUP(MasterTable[[#This Row],[Vote]],'MTEF 21-22'!A:B,2,FALSE)</f>
        <v>Ministry of Energy and Mineral Development</v>
      </c>
      <c r="F13" t="str">
        <f>CONCATENATE(MasterTable[[#This Row],[Vote]]," ",MasterTable[[#This Row],[Vote Name]])</f>
        <v>017 Ministry of Energy and Mineral Development</v>
      </c>
      <c r="G13" t="s">
        <v>19</v>
      </c>
      <c r="H13" s="16">
        <v>42552</v>
      </c>
      <c r="I13" s="16">
        <v>44742</v>
      </c>
      <c r="J13" t="s">
        <v>40</v>
      </c>
      <c r="K13" t="s">
        <v>36</v>
      </c>
      <c r="L13" s="17">
        <v>7630000000</v>
      </c>
      <c r="M13" s="17">
        <v>1000000000</v>
      </c>
      <c r="N13" s="17"/>
      <c r="O13" s="17">
        <v>5340000000</v>
      </c>
      <c r="P13" s="17"/>
      <c r="Q13" s="17">
        <v>5340000000</v>
      </c>
      <c r="R13" s="17">
        <v>0</v>
      </c>
      <c r="S13" s="17">
        <v>0</v>
      </c>
      <c r="T13" s="17">
        <v>0</v>
      </c>
      <c r="U13" s="17"/>
      <c r="V13" s="17"/>
      <c r="W13" s="17">
        <v>13970000000</v>
      </c>
      <c r="X13" s="17">
        <v>265000000000</v>
      </c>
      <c r="Y13" t="s">
        <v>37</v>
      </c>
    </row>
    <row r="14" spans="1:27" x14ac:dyDescent="0.25">
      <c r="A14" t="s">
        <v>339</v>
      </c>
      <c r="B14" t="s">
        <v>44</v>
      </c>
      <c r="C14" t="str">
        <f>VLOOKUP(MasterTable[[#This Row],[Project Code and Name ]],PAProjects[LINKING_CODE],1,FALSE)</f>
        <v>1388 Mbale-Bulambuli (Atari) 132KV transmission line and Associated Substation</v>
      </c>
      <c r="D14" t="s">
        <v>66</v>
      </c>
      <c r="E14" t="str">
        <f>VLOOKUP(MasterTable[[#This Row],[Vote]],'MTEF 21-22'!A:B,2,FALSE)</f>
        <v>Ministry of Energy and Mineral Development</v>
      </c>
      <c r="F14" t="str">
        <f>CONCATENATE(MasterTable[[#This Row],[Vote]]," ",MasterTable[[#This Row],[Vote Name]])</f>
        <v>017 Ministry of Energy and Mineral Development</v>
      </c>
      <c r="G14" t="s">
        <v>25</v>
      </c>
      <c r="H14" s="16">
        <v>42552</v>
      </c>
      <c r="I14" s="16">
        <v>44742</v>
      </c>
      <c r="J14" t="s">
        <v>40</v>
      </c>
      <c r="K14" t="s">
        <v>36</v>
      </c>
      <c r="L14" s="17">
        <v>0</v>
      </c>
      <c r="M14" s="17">
        <v>1920000000</v>
      </c>
      <c r="N14" s="17"/>
      <c r="O14" s="17"/>
      <c r="P14" s="17">
        <v>7690000000</v>
      </c>
      <c r="Q14" s="17">
        <v>7690000000</v>
      </c>
      <c r="R14" s="17">
        <v>0</v>
      </c>
      <c r="S14" s="17">
        <v>0</v>
      </c>
      <c r="T14" s="17">
        <v>0</v>
      </c>
      <c r="U14" s="17"/>
      <c r="V14" s="17"/>
      <c r="W14" s="17">
        <v>9610000000</v>
      </c>
      <c r="X14" s="17"/>
      <c r="Y14" t="s">
        <v>37</v>
      </c>
    </row>
    <row r="15" spans="1:27" x14ac:dyDescent="0.25">
      <c r="A15" t="s">
        <v>339</v>
      </c>
      <c r="B15" t="s">
        <v>45</v>
      </c>
      <c r="C15" t="str">
        <f>VLOOKUP(MasterTable[[#This Row],[Project Code and Name ]],PAProjects[LINKING_CODE],1,FALSE)</f>
        <v>1391 Lira-Gulu-Agago 132KV transmission project</v>
      </c>
      <c r="D15" t="s">
        <v>66</v>
      </c>
      <c r="E15" t="str">
        <f>VLOOKUP(MasterTable[[#This Row],[Vote]],'MTEF 21-22'!A:B,2,FALSE)</f>
        <v>Ministry of Energy and Mineral Development</v>
      </c>
      <c r="F15" t="str">
        <f>CONCATENATE(MasterTable[[#This Row],[Vote]]," ",MasterTable[[#This Row],[Vote Name]])</f>
        <v>017 Ministry of Energy and Mineral Development</v>
      </c>
      <c r="G15" t="s">
        <v>19</v>
      </c>
      <c r="H15" s="16">
        <v>42552</v>
      </c>
      <c r="I15" s="16">
        <v>44742</v>
      </c>
      <c r="J15" t="s">
        <v>40</v>
      </c>
      <c r="K15" t="s">
        <v>36</v>
      </c>
      <c r="L15" s="17">
        <v>30760000000</v>
      </c>
      <c r="M15" s="17">
        <v>2942000000</v>
      </c>
      <c r="N15" s="17"/>
      <c r="O15" s="17">
        <v>16680000000</v>
      </c>
      <c r="P15" s="17"/>
      <c r="Q15" s="17">
        <v>16680000000</v>
      </c>
      <c r="R15" s="17">
        <v>0</v>
      </c>
      <c r="S15" s="17">
        <v>0</v>
      </c>
      <c r="T15" s="17">
        <v>0</v>
      </c>
      <c r="U15" s="17"/>
      <c r="V15" s="17"/>
      <c r="W15" s="17">
        <v>50382000000</v>
      </c>
      <c r="X15" s="17">
        <v>66000000000</v>
      </c>
      <c r="Y15" t="s">
        <v>37</v>
      </c>
    </row>
    <row r="16" spans="1:27" x14ac:dyDescent="0.25">
      <c r="A16" t="s">
        <v>339</v>
      </c>
      <c r="B16" t="s">
        <v>45</v>
      </c>
      <c r="C16" t="str">
        <f>VLOOKUP(MasterTable[[#This Row],[Project Code and Name ]],PAProjects[LINKING_CODE],1,FALSE)</f>
        <v>1391 Lira-Gulu-Agago 132KV transmission project</v>
      </c>
      <c r="D16" t="s">
        <v>66</v>
      </c>
      <c r="E16" t="str">
        <f>VLOOKUP(MasterTable[[#This Row],[Vote]],'MTEF 21-22'!A:B,2,FALSE)</f>
        <v>Ministry of Energy and Mineral Development</v>
      </c>
      <c r="F16" t="str">
        <f>CONCATENATE(MasterTable[[#This Row],[Vote]]," ",MasterTable[[#This Row],[Vote Name]])</f>
        <v>017 Ministry of Energy and Mineral Development</v>
      </c>
      <c r="G16" t="s">
        <v>25</v>
      </c>
      <c r="H16" s="16">
        <v>42552</v>
      </c>
      <c r="I16" s="16">
        <v>44742</v>
      </c>
      <c r="J16" t="s">
        <v>40</v>
      </c>
      <c r="K16" t="s">
        <v>36</v>
      </c>
      <c r="L16" s="17">
        <v>0</v>
      </c>
      <c r="M16" s="17">
        <v>38500000000</v>
      </c>
      <c r="N16" s="17"/>
      <c r="O16" s="17"/>
      <c r="P16" s="17">
        <v>15390000000</v>
      </c>
      <c r="Q16" s="17">
        <v>15390000000</v>
      </c>
      <c r="R16" s="17">
        <v>0</v>
      </c>
      <c r="S16" s="17">
        <v>0</v>
      </c>
      <c r="T16" s="17">
        <v>0</v>
      </c>
      <c r="U16" s="17"/>
      <c r="V16" s="17"/>
      <c r="W16" s="17">
        <v>53890000000</v>
      </c>
      <c r="X16" s="17"/>
      <c r="Y16" t="s">
        <v>37</v>
      </c>
    </row>
    <row r="17" spans="1:25" x14ac:dyDescent="0.25">
      <c r="A17" t="s">
        <v>339</v>
      </c>
      <c r="B17" t="s">
        <v>46</v>
      </c>
      <c r="C17" t="str">
        <f>VLOOKUP(MasterTable[[#This Row],[Project Code and Name ]],PAProjects[LINKING_CODE],1,FALSE)</f>
        <v>1409 Mirama - Kabale 132kv Transmission Project</v>
      </c>
      <c r="D17" t="s">
        <v>66</v>
      </c>
      <c r="E17" t="str">
        <f>VLOOKUP(MasterTable[[#This Row],[Vote]],'MTEF 21-22'!A:B,2,FALSE)</f>
        <v>Ministry of Energy and Mineral Development</v>
      </c>
      <c r="F17" t="str">
        <f>CONCATENATE(MasterTable[[#This Row],[Vote]]," ",MasterTable[[#This Row],[Vote Name]])</f>
        <v>017 Ministry of Energy and Mineral Development</v>
      </c>
      <c r="G17" t="s">
        <v>19</v>
      </c>
      <c r="H17" s="16">
        <v>42552</v>
      </c>
      <c r="I17" s="16">
        <v>44742</v>
      </c>
      <c r="J17" t="s">
        <v>40</v>
      </c>
      <c r="K17" t="s">
        <v>36</v>
      </c>
      <c r="L17" s="17">
        <v>31180000000</v>
      </c>
      <c r="M17" s="17">
        <v>15000000000</v>
      </c>
      <c r="N17" s="17"/>
      <c r="O17" s="17">
        <v>5270000000</v>
      </c>
      <c r="P17" s="17"/>
      <c r="Q17" s="17">
        <v>5270000000</v>
      </c>
      <c r="R17" s="17">
        <v>0</v>
      </c>
      <c r="S17" s="17">
        <v>0</v>
      </c>
      <c r="T17" s="17">
        <v>0</v>
      </c>
      <c r="U17" s="17"/>
      <c r="V17" s="17"/>
      <c r="W17" s="17">
        <v>51450000000</v>
      </c>
      <c r="X17" s="17">
        <v>253007000000</v>
      </c>
      <c r="Y17" t="s">
        <v>37</v>
      </c>
    </row>
    <row r="18" spans="1:25" x14ac:dyDescent="0.25">
      <c r="A18" t="s">
        <v>339</v>
      </c>
      <c r="B18" t="s">
        <v>46</v>
      </c>
      <c r="C18" t="str">
        <f>VLOOKUP(MasterTable[[#This Row],[Project Code and Name ]],PAProjects[LINKING_CODE],1,FALSE)</f>
        <v>1409 Mirama - Kabale 132kv Transmission Project</v>
      </c>
      <c r="D18" t="s">
        <v>66</v>
      </c>
      <c r="E18" t="str">
        <f>VLOOKUP(MasterTable[[#This Row],[Vote]],'MTEF 21-22'!A:B,2,FALSE)</f>
        <v>Ministry of Energy and Mineral Development</v>
      </c>
      <c r="F18" t="str">
        <f>CONCATENATE(MasterTable[[#This Row],[Vote]]," ",MasterTable[[#This Row],[Vote Name]])</f>
        <v>017 Ministry of Energy and Mineral Development</v>
      </c>
      <c r="G18" t="s">
        <v>25</v>
      </c>
      <c r="H18" s="16">
        <v>42552</v>
      </c>
      <c r="I18" s="16">
        <v>44742</v>
      </c>
      <c r="J18" t="s">
        <v>20</v>
      </c>
      <c r="K18" t="s">
        <v>36</v>
      </c>
      <c r="L18" s="17">
        <v>0</v>
      </c>
      <c r="M18" s="17">
        <v>0</v>
      </c>
      <c r="N18" s="17"/>
      <c r="O18" s="17"/>
      <c r="P18" s="17">
        <v>15390000000</v>
      </c>
      <c r="Q18" s="17">
        <v>15390000000</v>
      </c>
      <c r="R18" s="17"/>
      <c r="S18" s="17"/>
      <c r="T18" s="17"/>
      <c r="U18" s="17"/>
      <c r="V18" s="17"/>
      <c r="W18" s="17">
        <v>15390000000</v>
      </c>
      <c r="X18" s="17"/>
    </row>
    <row r="19" spans="1:25" x14ac:dyDescent="0.25">
      <c r="A19" t="s">
        <v>339</v>
      </c>
      <c r="B19" t="s">
        <v>47</v>
      </c>
      <c r="C19" t="str">
        <f>VLOOKUP(MasterTable[[#This Row],[Project Code and Name ]],PAProjects[LINKING_CODE],1,FALSE)</f>
        <v>1426 Grid Expansion and Reinforcement Project -Lira, Gulu, Nebbi to Arua Transmission Line</v>
      </c>
      <c r="D19" t="s">
        <v>66</v>
      </c>
      <c r="E19" t="str">
        <f>VLOOKUP(MasterTable[[#This Row],[Vote]],'MTEF 21-22'!A:B,2,FALSE)</f>
        <v>Ministry of Energy and Mineral Development</v>
      </c>
      <c r="F19" t="str">
        <f>CONCATENATE(MasterTable[[#This Row],[Vote]]," ",MasterTable[[#This Row],[Vote Name]])</f>
        <v>017 Ministry of Energy and Mineral Development</v>
      </c>
      <c r="G19" t="s">
        <v>19</v>
      </c>
      <c r="H19" s="16">
        <v>42552</v>
      </c>
      <c r="I19" s="16">
        <v>44742</v>
      </c>
      <c r="J19" t="s">
        <v>20</v>
      </c>
      <c r="K19" t="s">
        <v>36</v>
      </c>
      <c r="L19" s="17">
        <v>25850000000</v>
      </c>
      <c r="M19" s="17">
        <v>7224960000</v>
      </c>
      <c r="N19" s="17"/>
      <c r="O19" s="17">
        <v>2500000000</v>
      </c>
      <c r="P19" s="17"/>
      <c r="Q19" s="17">
        <v>2500000000</v>
      </c>
      <c r="R19" s="17"/>
      <c r="S19" s="17"/>
      <c r="T19" s="17"/>
      <c r="U19" s="17"/>
      <c r="V19" s="17"/>
      <c r="W19" s="17">
        <v>35574960000</v>
      </c>
      <c r="X19" s="17">
        <v>382000000000</v>
      </c>
      <c r="Y19" t="s">
        <v>37</v>
      </c>
    </row>
    <row r="20" spans="1:25" x14ac:dyDescent="0.25">
      <c r="A20" t="s">
        <v>339</v>
      </c>
      <c r="B20" t="s">
        <v>47</v>
      </c>
      <c r="C20" t="str">
        <f>VLOOKUP(MasterTable[[#This Row],[Project Code and Name ]],PAProjects[LINKING_CODE],1,FALSE)</f>
        <v>1426 Grid Expansion and Reinforcement Project -Lira, Gulu, Nebbi to Arua Transmission Line</v>
      </c>
      <c r="D20" t="s">
        <v>66</v>
      </c>
      <c r="E20" t="str">
        <f>VLOOKUP(MasterTable[[#This Row],[Vote]],'MTEF 21-22'!A:B,2,FALSE)</f>
        <v>Ministry of Energy and Mineral Development</v>
      </c>
      <c r="F20" t="str">
        <f>CONCATENATE(MasterTable[[#This Row],[Vote]]," ",MasterTable[[#This Row],[Vote Name]])</f>
        <v>017 Ministry of Energy and Mineral Development</v>
      </c>
      <c r="G20" t="s">
        <v>25</v>
      </c>
      <c r="H20" s="16">
        <v>42552</v>
      </c>
      <c r="I20" s="16">
        <v>44742</v>
      </c>
      <c r="J20" t="s">
        <v>20</v>
      </c>
      <c r="K20" t="s">
        <v>36</v>
      </c>
      <c r="L20" s="17">
        <v>15770000000</v>
      </c>
      <c r="M20" s="17">
        <v>57558220000</v>
      </c>
      <c r="N20" s="17"/>
      <c r="O20" s="17"/>
      <c r="P20" s="17">
        <v>15390000000</v>
      </c>
      <c r="Q20" s="17">
        <v>15390000000</v>
      </c>
      <c r="R20" s="17">
        <v>0</v>
      </c>
      <c r="S20" s="17">
        <v>0</v>
      </c>
      <c r="T20" s="17">
        <v>0</v>
      </c>
      <c r="U20" s="17"/>
      <c r="V20" s="17"/>
      <c r="W20" s="17">
        <v>88718220000</v>
      </c>
      <c r="X20" s="17"/>
      <c r="Y20" t="s">
        <v>37</v>
      </c>
    </row>
    <row r="21" spans="1:25" x14ac:dyDescent="0.25">
      <c r="A21" t="s">
        <v>339</v>
      </c>
      <c r="B21" t="s">
        <v>48</v>
      </c>
      <c r="C21" t="str">
        <f>VLOOKUP(MasterTable[[#This Row],[Project Code and Name ]],PAProjects[LINKING_CODE],1,FALSE)</f>
        <v>1428 Energy for Rural Transformation (ERT) Phase III</v>
      </c>
      <c r="D21" t="s">
        <v>66</v>
      </c>
      <c r="E21" t="str">
        <f>VLOOKUP(MasterTable[[#This Row],[Vote]],'MTEF 21-22'!A:B,2,FALSE)</f>
        <v>Ministry of Energy and Mineral Development</v>
      </c>
      <c r="F21" t="str">
        <f>CONCATENATE(MasterTable[[#This Row],[Vote]]," ",MasterTable[[#This Row],[Vote Name]])</f>
        <v>017 Ministry of Energy and Mineral Development</v>
      </c>
      <c r="G21" t="s">
        <v>19</v>
      </c>
      <c r="H21" s="16">
        <v>42917</v>
      </c>
      <c r="I21" s="16">
        <v>44742</v>
      </c>
      <c r="J21" t="s">
        <v>20</v>
      </c>
      <c r="K21" t="s">
        <v>36</v>
      </c>
      <c r="L21" s="17">
        <v>44720000000</v>
      </c>
      <c r="M21" s="17">
        <v>7667000000</v>
      </c>
      <c r="N21" s="17"/>
      <c r="O21" s="17">
        <v>13070000000</v>
      </c>
      <c r="P21" s="17"/>
      <c r="Q21" s="17">
        <v>13070000000</v>
      </c>
      <c r="R21" s="17">
        <v>0</v>
      </c>
      <c r="S21" s="17">
        <v>0</v>
      </c>
      <c r="T21" s="17">
        <v>0</v>
      </c>
      <c r="U21" s="17">
        <v>0</v>
      </c>
      <c r="V21" s="17"/>
      <c r="W21" s="17">
        <v>65457000000</v>
      </c>
      <c r="X21" s="17">
        <v>249000000000</v>
      </c>
      <c r="Y21" t="s">
        <v>37</v>
      </c>
    </row>
    <row r="22" spans="1:25" x14ac:dyDescent="0.25">
      <c r="A22" t="s">
        <v>339</v>
      </c>
      <c r="B22" t="s">
        <v>48</v>
      </c>
      <c r="C22" t="str">
        <f>VLOOKUP(MasterTable[[#This Row],[Project Code and Name ]],PAProjects[LINKING_CODE],1,FALSE)</f>
        <v>1428 Energy for Rural Transformation (ERT) Phase III</v>
      </c>
      <c r="D22" t="s">
        <v>66</v>
      </c>
      <c r="E22" t="str">
        <f>VLOOKUP(MasterTable[[#This Row],[Vote]],'MTEF 21-22'!A:B,2,FALSE)</f>
        <v>Ministry of Energy and Mineral Development</v>
      </c>
      <c r="F22" t="str">
        <f>CONCATENATE(MasterTable[[#This Row],[Vote]]," ",MasterTable[[#This Row],[Vote Name]])</f>
        <v>017 Ministry of Energy and Mineral Development</v>
      </c>
      <c r="G22" t="s">
        <v>25</v>
      </c>
      <c r="H22" s="16">
        <v>42917</v>
      </c>
      <c r="I22" s="16">
        <v>44742</v>
      </c>
      <c r="J22" t="s">
        <v>20</v>
      </c>
      <c r="K22" t="s">
        <v>36</v>
      </c>
      <c r="L22" s="17">
        <v>23210000000</v>
      </c>
      <c r="M22" s="17">
        <v>28400000000</v>
      </c>
      <c r="N22" s="17"/>
      <c r="O22" s="17"/>
      <c r="P22" s="17">
        <v>55490000000</v>
      </c>
      <c r="Q22" s="17">
        <v>55490000000</v>
      </c>
      <c r="R22" s="17">
        <v>0</v>
      </c>
      <c r="S22" s="17">
        <v>0</v>
      </c>
      <c r="T22" s="17">
        <v>0</v>
      </c>
      <c r="U22" s="17">
        <v>0</v>
      </c>
      <c r="V22" s="17"/>
      <c r="W22" s="17">
        <v>107100000000</v>
      </c>
      <c r="X22" s="17"/>
      <c r="Y22" t="s">
        <v>37</v>
      </c>
    </row>
    <row r="23" spans="1:25" x14ac:dyDescent="0.25">
      <c r="A23" t="s">
        <v>339</v>
      </c>
      <c r="B23" t="s">
        <v>49</v>
      </c>
      <c r="C23" t="str">
        <f>VLOOKUP(MasterTable[[#This Row],[Project Code and Name ]],PAProjects[LINKING_CODE],1,FALSE)</f>
        <v xml:space="preserve">1429 ORIO Mini Hydro Power and Rural Electrification Project </v>
      </c>
      <c r="D23" t="s">
        <v>66</v>
      </c>
      <c r="E23" t="str">
        <f>VLOOKUP(MasterTable[[#This Row],[Vote]],'MTEF 21-22'!A:B,2,FALSE)</f>
        <v>Ministry of Energy and Mineral Development</v>
      </c>
      <c r="F23" t="str">
        <f>CONCATENATE(MasterTable[[#This Row],[Vote]]," ",MasterTable[[#This Row],[Vote Name]])</f>
        <v>017 Ministry of Energy and Mineral Development</v>
      </c>
      <c r="G23" t="s">
        <v>19</v>
      </c>
      <c r="H23" s="16">
        <v>42917</v>
      </c>
      <c r="I23" s="16">
        <v>44742</v>
      </c>
      <c r="J23" t="s">
        <v>20</v>
      </c>
      <c r="K23" t="s">
        <v>36</v>
      </c>
      <c r="L23" s="17">
        <v>17000000000</v>
      </c>
      <c r="M23" s="17">
        <v>10000000000</v>
      </c>
      <c r="N23" s="17"/>
      <c r="O23" s="17">
        <v>8000000000</v>
      </c>
      <c r="P23" s="17"/>
      <c r="Q23" s="17">
        <v>8000000000</v>
      </c>
      <c r="R23" s="17">
        <v>0</v>
      </c>
      <c r="S23" s="17">
        <v>0</v>
      </c>
      <c r="T23" s="17">
        <v>0</v>
      </c>
      <c r="U23" s="17">
        <v>0</v>
      </c>
      <c r="V23" s="17"/>
      <c r="W23" s="17">
        <v>35000000000</v>
      </c>
      <c r="X23" s="17">
        <v>145000000000</v>
      </c>
      <c r="Y23" t="s">
        <v>37</v>
      </c>
    </row>
    <row r="24" spans="1:25" x14ac:dyDescent="0.25">
      <c r="A24" t="s">
        <v>339</v>
      </c>
      <c r="B24" t="s">
        <v>50</v>
      </c>
      <c r="C24" t="str">
        <f>VLOOKUP(MasterTable[[#This Row],[Project Code and Name ]],PAProjects[LINKING_CODE],1,FALSE)</f>
        <v>1492 Kampala Metropolitan Transmission System Improvement Project</v>
      </c>
      <c r="D24" t="s">
        <v>66</v>
      </c>
      <c r="E24" t="str">
        <f>VLOOKUP(MasterTable[[#This Row],[Vote]],'MTEF 21-22'!A:B,2,FALSE)</f>
        <v>Ministry of Energy and Mineral Development</v>
      </c>
      <c r="F24" t="str">
        <f>CONCATENATE(MasterTable[[#This Row],[Vote]]," ",MasterTable[[#This Row],[Vote Name]])</f>
        <v>017 Ministry of Energy and Mineral Development</v>
      </c>
      <c r="G24" t="s">
        <v>19</v>
      </c>
      <c r="H24" s="16">
        <v>42917</v>
      </c>
      <c r="I24" s="16">
        <v>44742</v>
      </c>
      <c r="J24" t="s">
        <v>40</v>
      </c>
      <c r="K24" t="s">
        <v>36</v>
      </c>
      <c r="L24" s="17">
        <v>13170000000</v>
      </c>
      <c r="M24" s="17">
        <v>30306934000</v>
      </c>
      <c r="N24" s="17"/>
      <c r="O24" s="17">
        <v>1960000000</v>
      </c>
      <c r="P24" s="17"/>
      <c r="Q24" s="17">
        <v>1960000000</v>
      </c>
      <c r="R24" s="17">
        <v>0</v>
      </c>
      <c r="S24" s="17">
        <v>0</v>
      </c>
      <c r="T24" s="17">
        <v>0</v>
      </c>
      <c r="U24" s="17">
        <v>0</v>
      </c>
      <c r="V24" s="17"/>
      <c r="W24" s="17">
        <v>45436934000</v>
      </c>
      <c r="X24" s="17">
        <v>485500000000</v>
      </c>
      <c r="Y24" t="s">
        <v>37</v>
      </c>
    </row>
    <row r="25" spans="1:25" x14ac:dyDescent="0.25">
      <c r="A25" t="s">
        <v>339</v>
      </c>
      <c r="B25" t="s">
        <v>50</v>
      </c>
      <c r="C25" t="str">
        <f>VLOOKUP(MasterTable[[#This Row],[Project Code and Name ]],PAProjects[LINKING_CODE],1,FALSE)</f>
        <v>1492 Kampala Metropolitan Transmission System Improvement Project</v>
      </c>
      <c r="D25" t="s">
        <v>66</v>
      </c>
      <c r="E25" t="str">
        <f>VLOOKUP(MasterTable[[#This Row],[Vote]],'MTEF 21-22'!A:B,2,FALSE)</f>
        <v>Ministry of Energy and Mineral Development</v>
      </c>
      <c r="F25" t="str">
        <f>CONCATENATE(MasterTable[[#This Row],[Vote]]," ",MasterTable[[#This Row],[Vote Name]])</f>
        <v>017 Ministry of Energy and Mineral Development</v>
      </c>
      <c r="G25" t="s">
        <v>25</v>
      </c>
      <c r="H25" s="16">
        <v>42917</v>
      </c>
      <c r="I25" s="16">
        <v>44742</v>
      </c>
      <c r="J25" t="s">
        <v>40</v>
      </c>
      <c r="K25" t="s">
        <v>36</v>
      </c>
      <c r="L25" s="17">
        <v>7320000000</v>
      </c>
      <c r="M25" s="17">
        <v>0</v>
      </c>
      <c r="N25" s="17"/>
      <c r="O25" s="17">
        <v>0</v>
      </c>
      <c r="P25" s="17">
        <v>84710000000</v>
      </c>
      <c r="Q25" s="17">
        <v>84710000000</v>
      </c>
      <c r="R25" s="17">
        <v>0</v>
      </c>
      <c r="S25" s="17">
        <v>0</v>
      </c>
      <c r="T25" s="17">
        <v>0</v>
      </c>
      <c r="U25" s="17">
        <v>0</v>
      </c>
      <c r="V25" s="17"/>
      <c r="W25" s="17">
        <v>92030000000</v>
      </c>
      <c r="X25" s="17"/>
      <c r="Y25" t="s">
        <v>37</v>
      </c>
    </row>
    <row r="26" spans="1:25" x14ac:dyDescent="0.25">
      <c r="A26" t="s">
        <v>339</v>
      </c>
      <c r="B26" t="s">
        <v>51</v>
      </c>
      <c r="C26" t="str">
        <f>VLOOKUP(MasterTable[[#This Row],[Project Code and Name ]],PAProjects[LINKING_CODE],1,FALSE)</f>
        <v>1497 Masaka-Mbarara Grid Expansion Line</v>
      </c>
      <c r="D26" t="s">
        <v>66</v>
      </c>
      <c r="E26" t="str">
        <f>VLOOKUP(MasterTable[[#This Row],[Vote]],'MTEF 21-22'!A:B,2,FALSE)</f>
        <v>Ministry of Energy and Mineral Development</v>
      </c>
      <c r="F26" t="str">
        <f>CONCATENATE(MasterTable[[#This Row],[Vote]]," ",MasterTable[[#This Row],[Vote Name]])</f>
        <v>017 Ministry of Energy and Mineral Development</v>
      </c>
      <c r="G26" t="s">
        <v>19</v>
      </c>
      <c r="H26" s="16">
        <v>42917</v>
      </c>
      <c r="I26" s="16">
        <v>44742</v>
      </c>
      <c r="J26" t="s">
        <v>20</v>
      </c>
      <c r="K26" t="s">
        <v>36</v>
      </c>
      <c r="L26" s="17">
        <v>30600000000</v>
      </c>
      <c r="M26" s="17">
        <v>30000000000</v>
      </c>
      <c r="N26" s="17"/>
      <c r="O26" s="17">
        <v>13330000000</v>
      </c>
      <c r="P26" s="17"/>
      <c r="Q26" s="17">
        <v>13330000000</v>
      </c>
      <c r="R26" s="17">
        <v>0</v>
      </c>
      <c r="S26" s="17">
        <v>0</v>
      </c>
      <c r="T26" s="17">
        <v>0</v>
      </c>
      <c r="U26" s="17">
        <v>0</v>
      </c>
      <c r="V26" s="17"/>
      <c r="W26" s="17">
        <v>73930000000</v>
      </c>
      <c r="X26" s="17">
        <v>475000000000</v>
      </c>
      <c r="Y26" t="s">
        <v>37</v>
      </c>
    </row>
    <row r="27" spans="1:25" x14ac:dyDescent="0.25">
      <c r="A27" t="s">
        <v>339</v>
      </c>
      <c r="B27" t="s">
        <v>51</v>
      </c>
      <c r="C27" t="str">
        <f>VLOOKUP(MasterTable[[#This Row],[Project Code and Name ]],PAProjects[LINKING_CODE],1,FALSE)</f>
        <v>1497 Masaka-Mbarara Grid Expansion Line</v>
      </c>
      <c r="D27" t="s">
        <v>66</v>
      </c>
      <c r="E27" t="str">
        <f>VLOOKUP(MasterTable[[#This Row],[Vote]],'MTEF 21-22'!A:B,2,FALSE)</f>
        <v>Ministry of Energy and Mineral Development</v>
      </c>
      <c r="F27" t="str">
        <f>CONCATENATE(MasterTable[[#This Row],[Vote]]," ",MasterTable[[#This Row],[Vote Name]])</f>
        <v>017 Ministry of Energy and Mineral Development</v>
      </c>
      <c r="G27" t="s">
        <v>25</v>
      </c>
      <c r="H27" s="16">
        <v>42917</v>
      </c>
      <c r="I27" s="16">
        <v>44742</v>
      </c>
      <c r="J27" t="s">
        <v>20</v>
      </c>
      <c r="K27" t="s">
        <v>36</v>
      </c>
      <c r="L27" s="17">
        <v>0</v>
      </c>
      <c r="M27" s="17">
        <v>142780000000</v>
      </c>
      <c r="N27" s="17"/>
      <c r="O27" s="17"/>
      <c r="P27" s="17">
        <v>15390000000</v>
      </c>
      <c r="Q27" s="17">
        <v>15390000000</v>
      </c>
      <c r="R27" s="17">
        <v>0</v>
      </c>
      <c r="S27" s="17">
        <v>0</v>
      </c>
      <c r="T27" s="17">
        <v>0</v>
      </c>
      <c r="U27" s="17">
        <v>0</v>
      </c>
      <c r="V27" s="17"/>
      <c r="W27" s="17">
        <v>158170000000</v>
      </c>
      <c r="X27" s="17"/>
      <c r="Y27" t="s">
        <v>37</v>
      </c>
    </row>
    <row r="28" spans="1:25" x14ac:dyDescent="0.25">
      <c r="A28" t="s">
        <v>339</v>
      </c>
      <c r="B28" t="s">
        <v>52</v>
      </c>
      <c r="C28" t="str">
        <f>VLOOKUP(MasterTable[[#This Row],[Project Code and Name ]],PAProjects[LINKING_CODE],1,FALSE)</f>
        <v>1654 Power Supply to industrial parks and Power  Transmission Line Extension</v>
      </c>
      <c r="D28" t="s">
        <v>66</v>
      </c>
      <c r="E28" t="str">
        <f>VLOOKUP(MasterTable[[#This Row],[Vote]],'MTEF 21-22'!A:B,2,FALSE)</f>
        <v>Ministry of Energy and Mineral Development</v>
      </c>
      <c r="F28" t="str">
        <f>CONCATENATE(MasterTable[[#This Row],[Vote]]," ",MasterTable[[#This Row],[Vote Name]])</f>
        <v>017 Ministry of Energy and Mineral Development</v>
      </c>
      <c r="G28" t="s">
        <v>19</v>
      </c>
      <c r="H28" s="16">
        <v>44013</v>
      </c>
      <c r="I28" s="16">
        <v>45838</v>
      </c>
      <c r="J28" t="s">
        <v>20</v>
      </c>
      <c r="K28" t="s">
        <v>36</v>
      </c>
      <c r="L28" s="17">
        <v>0</v>
      </c>
      <c r="M28" s="17">
        <v>20000000000</v>
      </c>
      <c r="N28" s="17"/>
      <c r="O28" s="17">
        <v>37510000000</v>
      </c>
      <c r="P28" s="17"/>
      <c r="Q28" s="17">
        <v>37510000000</v>
      </c>
      <c r="R28" s="17">
        <v>5000000000</v>
      </c>
      <c r="S28" s="17">
        <v>5000000000</v>
      </c>
      <c r="T28" s="17">
        <v>5000000000</v>
      </c>
      <c r="U28" s="17"/>
      <c r="V28" s="17">
        <v>0</v>
      </c>
      <c r="W28" s="17">
        <v>72510000000</v>
      </c>
      <c r="X28" s="17">
        <v>238800000000</v>
      </c>
    </row>
    <row r="29" spans="1:25" x14ac:dyDescent="0.25">
      <c r="A29" t="s">
        <v>339</v>
      </c>
      <c r="B29" t="s">
        <v>52</v>
      </c>
      <c r="C29" t="str">
        <f>VLOOKUP(MasterTable[[#This Row],[Project Code and Name ]],PAProjects[LINKING_CODE],1,FALSE)</f>
        <v>1654 Power Supply to industrial parks and Power  Transmission Line Extension</v>
      </c>
      <c r="D29" t="s">
        <v>66</v>
      </c>
      <c r="E29" t="str">
        <f>VLOOKUP(MasterTable[[#This Row],[Vote]],'MTEF 21-22'!A:B,2,FALSE)</f>
        <v>Ministry of Energy and Mineral Development</v>
      </c>
      <c r="F29" t="str">
        <f>CONCATENATE(MasterTable[[#This Row],[Vote]]," ",MasterTable[[#This Row],[Vote Name]])</f>
        <v>017 Ministry of Energy and Mineral Development</v>
      </c>
      <c r="G29" t="s">
        <v>25</v>
      </c>
      <c r="H29" s="16">
        <v>44013</v>
      </c>
      <c r="I29" s="16">
        <v>45838</v>
      </c>
      <c r="J29" t="s">
        <v>20</v>
      </c>
      <c r="K29" t="s">
        <v>36</v>
      </c>
      <c r="L29" s="17">
        <v>0</v>
      </c>
      <c r="M29" s="17">
        <v>136850000000</v>
      </c>
      <c r="N29" s="17"/>
      <c r="O29" s="17"/>
      <c r="P29" s="17">
        <v>32290000000</v>
      </c>
      <c r="Q29" s="17">
        <v>32290000000</v>
      </c>
      <c r="R29" s="17">
        <v>20000000000</v>
      </c>
      <c r="S29" s="17">
        <v>16850000000</v>
      </c>
      <c r="T29" s="17">
        <v>6850000000</v>
      </c>
      <c r="U29" s="17"/>
      <c r="V29" s="17">
        <v>0</v>
      </c>
      <c r="W29" s="17">
        <v>212840000000</v>
      </c>
      <c r="X29" s="17"/>
    </row>
    <row r="30" spans="1:25" x14ac:dyDescent="0.25">
      <c r="A30" t="s">
        <v>339</v>
      </c>
      <c r="B30" t="s">
        <v>53</v>
      </c>
      <c r="C30" t="str">
        <f>VLOOKUP(MasterTable[[#This Row],[Project Code and Name ]],PAProjects[LINKING_CODE],1,FALSE)</f>
        <v>1655 Kikagati Nsongezi Transmission Line</v>
      </c>
      <c r="D30" t="s">
        <v>66</v>
      </c>
      <c r="E30" t="str">
        <f>VLOOKUP(MasterTable[[#This Row],[Vote]],'MTEF 21-22'!A:B,2,FALSE)</f>
        <v>Ministry of Energy and Mineral Development</v>
      </c>
      <c r="F30" t="str">
        <f>CONCATENATE(MasterTable[[#This Row],[Vote]]," ",MasterTable[[#This Row],[Vote Name]])</f>
        <v>017 Ministry of Energy and Mineral Development</v>
      </c>
      <c r="G30" t="s">
        <v>19</v>
      </c>
      <c r="H30" s="16">
        <v>44013</v>
      </c>
      <c r="I30" s="16">
        <v>45838</v>
      </c>
      <c r="J30" t="s">
        <v>20</v>
      </c>
      <c r="K30" t="s">
        <v>36</v>
      </c>
      <c r="L30" s="17">
        <v>0</v>
      </c>
      <c r="M30" s="17">
        <v>1000000000</v>
      </c>
      <c r="N30" s="17"/>
      <c r="O30" s="17">
        <v>4650000000</v>
      </c>
      <c r="P30" s="17"/>
      <c r="Q30" s="17">
        <v>4650000000</v>
      </c>
      <c r="R30" s="17">
        <v>1000000000</v>
      </c>
      <c r="S30" s="17">
        <v>1000000000</v>
      </c>
      <c r="T30" s="17">
        <v>1000000000</v>
      </c>
      <c r="U30" s="17"/>
      <c r="V30" s="17">
        <v>0</v>
      </c>
      <c r="W30" s="17">
        <v>8650000000</v>
      </c>
      <c r="X30" s="17">
        <v>24500000000</v>
      </c>
    </row>
    <row r="31" spans="1:25" x14ac:dyDescent="0.25">
      <c r="A31" t="s">
        <v>339</v>
      </c>
      <c r="B31" t="s">
        <v>53</v>
      </c>
      <c r="C31" t="str">
        <f>VLOOKUP(MasterTable[[#This Row],[Project Code and Name ]],PAProjects[LINKING_CODE],1,FALSE)</f>
        <v>1655 Kikagati Nsongezi Transmission Line</v>
      </c>
      <c r="D31" t="s">
        <v>66</v>
      </c>
      <c r="E31" t="str">
        <f>VLOOKUP(MasterTable[[#This Row],[Vote]],'MTEF 21-22'!A:B,2,FALSE)</f>
        <v>Ministry of Energy and Mineral Development</v>
      </c>
      <c r="F31" t="str">
        <f>CONCATENATE(MasterTable[[#This Row],[Vote]]," ",MasterTable[[#This Row],[Vote Name]])</f>
        <v>017 Ministry of Energy and Mineral Development</v>
      </c>
      <c r="G31" t="s">
        <v>25</v>
      </c>
      <c r="H31" s="16">
        <v>44013</v>
      </c>
      <c r="I31" s="16">
        <v>45838</v>
      </c>
      <c r="J31" t="s">
        <v>20</v>
      </c>
      <c r="K31" t="s">
        <v>36</v>
      </c>
      <c r="L31" s="17">
        <v>0</v>
      </c>
      <c r="M31" s="17">
        <v>34540000000</v>
      </c>
      <c r="N31" s="17"/>
      <c r="O31" s="17"/>
      <c r="P31" s="17">
        <v>7690000000</v>
      </c>
      <c r="Q31" s="17">
        <v>7690000000</v>
      </c>
      <c r="R31" s="17"/>
      <c r="S31" s="17"/>
      <c r="T31" s="17"/>
      <c r="U31" s="17"/>
      <c r="V31" s="17">
        <v>0</v>
      </c>
      <c r="W31" s="17">
        <v>42230000000</v>
      </c>
      <c r="X31" s="17"/>
    </row>
    <row r="32" spans="1:25" x14ac:dyDescent="0.25">
      <c r="A32" t="s">
        <v>339</v>
      </c>
      <c r="B32" t="s">
        <v>54</v>
      </c>
      <c r="C32" t="str">
        <f>VLOOKUP(MasterTable[[#This Row],[Project Code and Name ]],PAProjects[LINKING_CODE],1,FALSE)</f>
        <v>1184 Construction of Oil Refinery</v>
      </c>
      <c r="D32" t="s">
        <v>66</v>
      </c>
      <c r="E32" t="str">
        <f>VLOOKUP(MasterTable[[#This Row],[Vote]],'MTEF 21-22'!A:B,2,FALSE)</f>
        <v>Ministry of Energy and Mineral Development</v>
      </c>
      <c r="F32" t="str">
        <f>CONCATENATE(MasterTable[[#This Row],[Vote]]," ",MasterTable[[#This Row],[Vote Name]])</f>
        <v>017 Ministry of Energy and Mineral Development</v>
      </c>
      <c r="G32" t="s">
        <v>19</v>
      </c>
      <c r="H32" s="16">
        <v>41456</v>
      </c>
      <c r="I32" s="16">
        <v>44742</v>
      </c>
      <c r="J32" t="s">
        <v>20</v>
      </c>
      <c r="K32" t="s">
        <v>36</v>
      </c>
      <c r="L32" s="17">
        <v>127140000000</v>
      </c>
      <c r="M32" s="17">
        <v>12405000000</v>
      </c>
      <c r="N32" s="17"/>
      <c r="O32" s="17">
        <v>6410000000</v>
      </c>
      <c r="P32" s="17"/>
      <c r="Q32" s="17">
        <v>6410000000</v>
      </c>
      <c r="R32" s="17">
        <v>0</v>
      </c>
      <c r="S32" s="17">
        <v>0</v>
      </c>
      <c r="T32" s="17">
        <v>0</v>
      </c>
      <c r="U32" s="17"/>
      <c r="V32" s="17"/>
      <c r="W32" s="17">
        <v>145955000000</v>
      </c>
      <c r="X32" s="17">
        <v>67000000000</v>
      </c>
      <c r="Y32" t="s">
        <v>37</v>
      </c>
    </row>
    <row r="33" spans="1:27" x14ac:dyDescent="0.25">
      <c r="A33" t="s">
        <v>339</v>
      </c>
      <c r="B33" t="s">
        <v>55</v>
      </c>
      <c r="C33" t="str">
        <f>VLOOKUP(MasterTable[[#This Row],[Project Code and Name ]],PAProjects[LINKING_CODE],1,FALSE)</f>
        <v>1352 Midstream Petroleum Infrastructure Development Project</v>
      </c>
      <c r="D33" t="s">
        <v>66</v>
      </c>
      <c r="E33" t="str">
        <f>VLOOKUP(MasterTable[[#This Row],[Vote]],'MTEF 21-22'!A:B,2,FALSE)</f>
        <v>Ministry of Energy and Mineral Development</v>
      </c>
      <c r="F33" t="str">
        <f>CONCATENATE(MasterTable[[#This Row],[Vote]]," ",MasterTable[[#This Row],[Vote Name]])</f>
        <v>017 Ministry of Energy and Mineral Development</v>
      </c>
      <c r="G33" t="s">
        <v>19</v>
      </c>
      <c r="H33" s="16">
        <v>42186</v>
      </c>
      <c r="I33" s="16">
        <v>44742</v>
      </c>
      <c r="J33" t="s">
        <v>20</v>
      </c>
      <c r="K33" t="s">
        <v>36</v>
      </c>
      <c r="L33" s="17">
        <v>30230000000</v>
      </c>
      <c r="M33" s="17">
        <v>14508211000</v>
      </c>
      <c r="N33" s="17"/>
      <c r="O33" s="17">
        <v>5510000000</v>
      </c>
      <c r="P33" s="17"/>
      <c r="Q33" s="17">
        <v>5510000000</v>
      </c>
      <c r="R33" s="17">
        <v>0</v>
      </c>
      <c r="S33" s="17">
        <v>0</v>
      </c>
      <c r="T33" s="17">
        <v>0</v>
      </c>
      <c r="U33" s="17"/>
      <c r="V33" s="17"/>
      <c r="W33" s="17">
        <v>50248211000</v>
      </c>
      <c r="X33" s="17">
        <v>570960000000</v>
      </c>
      <c r="Y33" t="s">
        <v>37</v>
      </c>
    </row>
    <row r="34" spans="1:27" x14ac:dyDescent="0.25">
      <c r="A34" t="s">
        <v>339</v>
      </c>
      <c r="B34" t="s">
        <v>56</v>
      </c>
      <c r="C34" t="str">
        <f>VLOOKUP(MasterTable[[#This Row],[Project Code and Name ]],PAProjects[LINKING_CODE],1,FALSE)</f>
        <v>1355 Strengthening the Development and Production Phases of Oil and Gas Sector</v>
      </c>
      <c r="D34" t="s">
        <v>66</v>
      </c>
      <c r="E34" t="str">
        <f>VLOOKUP(MasterTable[[#This Row],[Vote]],'MTEF 21-22'!A:B,2,FALSE)</f>
        <v>Ministry of Energy and Mineral Development</v>
      </c>
      <c r="F34" t="str">
        <f>CONCATENATE(MasterTable[[#This Row],[Vote]]," ",MasterTable[[#This Row],[Vote Name]])</f>
        <v>017 Ministry of Energy and Mineral Development</v>
      </c>
      <c r="G34" t="s">
        <v>19</v>
      </c>
      <c r="H34" s="16">
        <v>42186</v>
      </c>
      <c r="I34" s="16">
        <v>44742</v>
      </c>
      <c r="J34" t="s">
        <v>20</v>
      </c>
      <c r="K34" t="s">
        <v>36</v>
      </c>
      <c r="L34" s="17">
        <v>136410000000</v>
      </c>
      <c r="M34" s="17">
        <v>10529540000</v>
      </c>
      <c r="N34" s="17"/>
      <c r="O34" s="17">
        <v>8530000000</v>
      </c>
      <c r="P34" s="17"/>
      <c r="Q34" s="17">
        <v>8530000000</v>
      </c>
      <c r="R34" s="17">
        <v>0</v>
      </c>
      <c r="S34" s="17">
        <v>0</v>
      </c>
      <c r="T34" s="17">
        <v>0</v>
      </c>
      <c r="U34" s="17"/>
      <c r="V34" s="17"/>
      <c r="W34" s="17">
        <v>155469540000</v>
      </c>
      <c r="X34" s="17">
        <v>25000000000</v>
      </c>
      <c r="Y34" t="s">
        <v>37</v>
      </c>
    </row>
    <row r="35" spans="1:27" x14ac:dyDescent="0.25">
      <c r="A35" t="s">
        <v>339</v>
      </c>
      <c r="B35" t="s">
        <v>57</v>
      </c>
      <c r="C35" t="str">
        <f>VLOOKUP(MasterTable[[#This Row],[Project Code and Name ]],PAProjects[LINKING_CODE],1,FALSE)</f>
        <v>1410 Skills for Oil and Gas Africa (SOGA)</v>
      </c>
      <c r="D35" t="s">
        <v>66</v>
      </c>
      <c r="E35" t="str">
        <f>VLOOKUP(MasterTable[[#This Row],[Vote]],'MTEF 21-22'!A:B,2,FALSE)</f>
        <v>Ministry of Energy and Mineral Development</v>
      </c>
      <c r="F35" t="str">
        <f>CONCATENATE(MasterTable[[#This Row],[Vote]]," ",MasterTable[[#This Row],[Vote Name]])</f>
        <v>017 Ministry of Energy and Mineral Development</v>
      </c>
      <c r="G35" t="s">
        <v>19</v>
      </c>
      <c r="H35" s="16">
        <v>42552</v>
      </c>
      <c r="I35" s="16">
        <v>44742</v>
      </c>
      <c r="J35" t="s">
        <v>20</v>
      </c>
      <c r="K35" t="s">
        <v>26</v>
      </c>
      <c r="L35" s="17">
        <v>3990000000</v>
      </c>
      <c r="M35" s="17">
        <v>3580000000</v>
      </c>
      <c r="N35" s="17"/>
      <c r="O35" s="17">
        <v>3070000000</v>
      </c>
      <c r="P35" s="17"/>
      <c r="Q35" s="17">
        <v>3070000000</v>
      </c>
      <c r="R35" s="17">
        <v>0</v>
      </c>
      <c r="S35" s="17">
        <v>0</v>
      </c>
      <c r="T35" s="17">
        <v>0</v>
      </c>
      <c r="U35" s="17"/>
      <c r="V35" s="17"/>
      <c r="W35" s="17">
        <v>10640000000</v>
      </c>
      <c r="X35" s="17">
        <v>50000000000</v>
      </c>
      <c r="Y35" t="s">
        <v>37</v>
      </c>
    </row>
    <row r="36" spans="1:27" x14ac:dyDescent="0.25">
      <c r="A36" t="s">
        <v>339</v>
      </c>
      <c r="B36" t="s">
        <v>57</v>
      </c>
      <c r="C36" t="str">
        <f>VLOOKUP(MasterTable[[#This Row],[Project Code and Name ]],PAProjects[LINKING_CODE],1,FALSE)</f>
        <v>1410 Skills for Oil and Gas Africa (SOGA)</v>
      </c>
      <c r="D36" t="s">
        <v>66</v>
      </c>
      <c r="E36" t="str">
        <f>VLOOKUP(MasterTable[[#This Row],[Vote]],'MTEF 21-22'!A:B,2,FALSE)</f>
        <v>Ministry of Energy and Mineral Development</v>
      </c>
      <c r="F36" t="str">
        <f>CONCATENATE(MasterTable[[#This Row],[Vote]]," ",MasterTable[[#This Row],[Vote Name]])</f>
        <v>017 Ministry of Energy and Mineral Development</v>
      </c>
      <c r="G36" t="s">
        <v>25</v>
      </c>
      <c r="H36" s="16">
        <v>42552</v>
      </c>
      <c r="I36" s="16">
        <v>44742</v>
      </c>
      <c r="J36" t="s">
        <v>20</v>
      </c>
      <c r="K36" t="s">
        <v>26</v>
      </c>
      <c r="L36" s="17">
        <v>5730000000</v>
      </c>
      <c r="M36" s="17">
        <v>4500000000</v>
      </c>
      <c r="N36" s="17"/>
      <c r="O36" s="17"/>
      <c r="P36" s="17">
        <v>0</v>
      </c>
      <c r="Q36" s="17">
        <v>0</v>
      </c>
      <c r="R36" s="17">
        <v>0</v>
      </c>
      <c r="S36" s="17">
        <v>0</v>
      </c>
      <c r="T36" s="17">
        <v>0</v>
      </c>
      <c r="U36" s="17"/>
      <c r="V36" s="17"/>
      <c r="W36" s="17">
        <v>10230000000</v>
      </c>
      <c r="X36" s="17"/>
      <c r="Y36" t="s">
        <v>37</v>
      </c>
    </row>
    <row r="37" spans="1:27" x14ac:dyDescent="0.25">
      <c r="A37" t="s">
        <v>339</v>
      </c>
      <c r="B37" t="s">
        <v>58</v>
      </c>
      <c r="C37" t="str">
        <f>VLOOKUP(MasterTable[[#This Row],[Project Code and Name ]],PAProjects[LINKING_CODE],1,FALSE)</f>
        <v>1610 Liquefied Petroleum Gas (LPG) Supply and Infrastructure Intervention</v>
      </c>
      <c r="D37" t="s">
        <v>66</v>
      </c>
      <c r="E37" t="str">
        <f>VLOOKUP(MasterTable[[#This Row],[Vote]],'MTEF 21-22'!A:B,2,FALSE)</f>
        <v>Ministry of Energy and Mineral Development</v>
      </c>
      <c r="F37" t="str">
        <f>CONCATENATE(MasterTable[[#This Row],[Vote]]," ",MasterTable[[#This Row],[Vote Name]])</f>
        <v>017 Ministry of Energy and Mineral Development</v>
      </c>
      <c r="G37" t="s">
        <v>19</v>
      </c>
      <c r="H37" s="16">
        <v>44013</v>
      </c>
      <c r="I37" s="16">
        <v>45838</v>
      </c>
      <c r="J37" t="s">
        <v>20</v>
      </c>
      <c r="K37" t="s">
        <v>36</v>
      </c>
      <c r="L37" s="17">
        <v>0</v>
      </c>
      <c r="M37" s="17">
        <v>3000000000</v>
      </c>
      <c r="N37" s="17"/>
      <c r="O37" s="17">
        <v>20510000000</v>
      </c>
      <c r="P37" s="17"/>
      <c r="Q37" s="17">
        <v>20510000000</v>
      </c>
      <c r="R37" s="17">
        <v>180000000000</v>
      </c>
      <c r="S37" s="17">
        <v>180000000000</v>
      </c>
      <c r="T37" s="17">
        <v>200000000000</v>
      </c>
      <c r="U37" s="17"/>
      <c r="V37" s="17">
        <v>0</v>
      </c>
      <c r="W37" s="17">
        <v>583510000000</v>
      </c>
      <c r="X37" s="17">
        <v>970000000000</v>
      </c>
      <c r="Y37" t="s">
        <v>59</v>
      </c>
    </row>
    <row r="38" spans="1:27" x14ac:dyDescent="0.25">
      <c r="A38" t="s">
        <v>339</v>
      </c>
      <c r="B38" t="s">
        <v>60</v>
      </c>
      <c r="C38" t="str">
        <f>VLOOKUP(MasterTable[[#This Row],[Project Code and Name ]],PAProjects[LINKING_CODE],1,FALSE)</f>
        <v>1611 Petroleum Exploration and Promotion Frontier Basins</v>
      </c>
      <c r="D38" t="s">
        <v>66</v>
      </c>
      <c r="E38" t="str">
        <f>VLOOKUP(MasterTable[[#This Row],[Vote]],'MTEF 21-22'!A:B,2,FALSE)</f>
        <v>Ministry of Energy and Mineral Development</v>
      </c>
      <c r="F38" t="str">
        <f>CONCATENATE(MasterTable[[#This Row],[Vote]]," ",MasterTable[[#This Row],[Vote Name]])</f>
        <v>017 Ministry of Energy and Mineral Development</v>
      </c>
      <c r="G38" t="s">
        <v>19</v>
      </c>
      <c r="H38" s="16">
        <v>44013</v>
      </c>
      <c r="I38" s="16">
        <v>45838</v>
      </c>
      <c r="J38" t="s">
        <v>20</v>
      </c>
      <c r="K38" t="s">
        <v>36</v>
      </c>
      <c r="L38" s="17">
        <v>0</v>
      </c>
      <c r="M38" s="17">
        <v>5000000000</v>
      </c>
      <c r="N38" s="17"/>
      <c r="O38" s="17">
        <v>5000000000</v>
      </c>
      <c r="P38" s="17"/>
      <c r="Q38" s="17">
        <v>5000000000</v>
      </c>
      <c r="R38" s="17">
        <v>35000000000</v>
      </c>
      <c r="S38" s="17">
        <v>35000000000</v>
      </c>
      <c r="T38" s="17">
        <v>21000000000</v>
      </c>
      <c r="U38" s="17"/>
      <c r="V38" s="17">
        <v>0</v>
      </c>
      <c r="W38" s="17">
        <v>101000000000</v>
      </c>
      <c r="X38" s="17">
        <v>101200000000</v>
      </c>
      <c r="Y38" t="s">
        <v>59</v>
      </c>
    </row>
    <row r="39" spans="1:27" x14ac:dyDescent="0.25">
      <c r="A39" t="s">
        <v>339</v>
      </c>
      <c r="B39" t="s">
        <v>61</v>
      </c>
      <c r="C39" t="str">
        <f>VLOOKUP(MasterTable[[#This Row],[Project Code and Name ]],PAProjects[LINKING_CODE],1,FALSE)</f>
        <v>1353 Mineral Wealth and Mining Infrastructure Development</v>
      </c>
      <c r="D39" t="s">
        <v>66</v>
      </c>
      <c r="E39" t="str">
        <f>VLOOKUP(MasterTable[[#This Row],[Vote]],'MTEF 21-22'!A:B,2,FALSE)</f>
        <v>Ministry of Energy and Mineral Development</v>
      </c>
      <c r="F39" t="str">
        <f>CONCATENATE(MasterTable[[#This Row],[Vote]]," ",MasterTable[[#This Row],[Vote Name]])</f>
        <v>017 Ministry of Energy and Mineral Development</v>
      </c>
      <c r="G39" t="s">
        <v>19</v>
      </c>
      <c r="H39" s="16">
        <v>42186</v>
      </c>
      <c r="I39" s="16">
        <v>44742</v>
      </c>
      <c r="J39" t="s">
        <v>20</v>
      </c>
      <c r="K39" t="s">
        <v>36</v>
      </c>
      <c r="L39" s="17">
        <v>37540000000</v>
      </c>
      <c r="M39" s="17">
        <v>13354378000</v>
      </c>
      <c r="N39" s="17"/>
      <c r="O39" s="17">
        <v>13354378000</v>
      </c>
      <c r="P39" s="17"/>
      <c r="Q39" s="17">
        <v>13354378000</v>
      </c>
      <c r="R39" s="17">
        <v>0</v>
      </c>
      <c r="S39" s="17">
        <v>0</v>
      </c>
      <c r="T39" s="17">
        <v>0</v>
      </c>
      <c r="U39" s="17"/>
      <c r="V39" s="17"/>
      <c r="W39" s="17">
        <v>64248756000</v>
      </c>
      <c r="X39" s="17">
        <v>156600000000</v>
      </c>
      <c r="Y39" t="s">
        <v>37</v>
      </c>
    </row>
    <row r="40" spans="1:27" x14ac:dyDescent="0.25">
      <c r="A40" t="s">
        <v>339</v>
      </c>
      <c r="B40" t="s">
        <v>62</v>
      </c>
      <c r="C40" t="str">
        <f>VLOOKUP(MasterTable[[#This Row],[Project Code and Name ]],PAProjects[LINKING_CODE],1,FALSE)</f>
        <v>1542 Airborne Geophysical Survey and Geological Mapping of Karamoja</v>
      </c>
      <c r="D40" t="s">
        <v>66</v>
      </c>
      <c r="E40" t="str">
        <f>VLOOKUP(MasterTable[[#This Row],[Vote]],'MTEF 21-22'!A:B,2,FALSE)</f>
        <v>Ministry of Energy and Mineral Development</v>
      </c>
      <c r="F40" t="str">
        <f>CONCATENATE(MasterTable[[#This Row],[Vote]]," ",MasterTable[[#This Row],[Vote Name]])</f>
        <v>017 Ministry of Energy and Mineral Development</v>
      </c>
      <c r="G40" t="s">
        <v>19</v>
      </c>
      <c r="H40" s="16">
        <v>43647</v>
      </c>
      <c r="I40" s="16">
        <v>45838</v>
      </c>
      <c r="J40" t="s">
        <v>20</v>
      </c>
      <c r="K40" t="s">
        <v>36</v>
      </c>
      <c r="L40" s="17">
        <v>2420000000</v>
      </c>
      <c r="M40" s="17">
        <v>9100000000</v>
      </c>
      <c r="N40" s="17">
        <v>0</v>
      </c>
      <c r="O40" s="17">
        <v>9100000000</v>
      </c>
      <c r="P40" s="17"/>
      <c r="Q40" s="17">
        <v>9100000000</v>
      </c>
      <c r="R40" s="17">
        <v>2000000000</v>
      </c>
      <c r="S40" s="17">
        <v>1689000000</v>
      </c>
      <c r="T40" s="17">
        <v>1200000000</v>
      </c>
      <c r="U40" s="17"/>
      <c r="V40" s="17">
        <v>0</v>
      </c>
      <c r="W40" s="17">
        <v>25509000000</v>
      </c>
      <c r="X40" s="17">
        <v>97341000000</v>
      </c>
      <c r="Y40" t="s">
        <v>63</v>
      </c>
    </row>
    <row r="41" spans="1:27" x14ac:dyDescent="0.25">
      <c r="A41" t="s">
        <v>339</v>
      </c>
      <c r="B41" t="s">
        <v>62</v>
      </c>
      <c r="C41" t="str">
        <f>VLOOKUP(MasterTable[[#This Row],[Project Code and Name ]],PAProjects[LINKING_CODE],1,FALSE)</f>
        <v>1542 Airborne Geophysical Survey and Geological Mapping of Karamoja</v>
      </c>
      <c r="D41" t="s">
        <v>66</v>
      </c>
      <c r="E41" t="str">
        <f>VLOOKUP(MasterTable[[#This Row],[Vote]],'MTEF 21-22'!A:B,2,FALSE)</f>
        <v>Ministry of Energy and Mineral Development</v>
      </c>
      <c r="F41" t="str">
        <f>CONCATENATE(MasterTable[[#This Row],[Vote]]," ",MasterTable[[#This Row],[Vote Name]])</f>
        <v>017 Ministry of Energy and Mineral Development</v>
      </c>
      <c r="G41" t="s">
        <v>25</v>
      </c>
      <c r="H41" s="16">
        <v>43647</v>
      </c>
      <c r="I41" s="16">
        <v>45838</v>
      </c>
      <c r="J41" t="s">
        <v>20</v>
      </c>
      <c r="K41" t="s">
        <v>36</v>
      </c>
      <c r="L41" s="17">
        <v>0</v>
      </c>
      <c r="M41" s="17">
        <v>38380000000</v>
      </c>
      <c r="N41" s="17"/>
      <c r="O41" s="17"/>
      <c r="P41" s="17">
        <v>20310000000</v>
      </c>
      <c r="Q41" s="17">
        <v>20310000000</v>
      </c>
      <c r="R41" s="17">
        <v>17000000000</v>
      </c>
      <c r="S41" s="17">
        <v>8780000000</v>
      </c>
      <c r="T41" s="17">
        <v>7700000000</v>
      </c>
      <c r="U41" s="17"/>
      <c r="V41" s="17"/>
      <c r="W41" s="17">
        <v>92170000000</v>
      </c>
      <c r="X41" s="17"/>
    </row>
    <row r="42" spans="1:27" x14ac:dyDescent="0.25">
      <c r="A42" t="s">
        <v>339</v>
      </c>
      <c r="B42" t="s">
        <v>64</v>
      </c>
      <c r="C42" t="str">
        <f>VLOOKUP(MasterTable[[#This Row],[Project Code and Name ]],PAProjects[LINKING_CODE],1,FALSE)</f>
        <v>1594 Retooling of Ministry of Energy and Mineral Development (PhaseII)</v>
      </c>
      <c r="D42" t="s">
        <v>66</v>
      </c>
      <c r="E42" t="str">
        <f>VLOOKUP(MasterTable[[#This Row],[Vote]],'MTEF 21-22'!A:B,2,FALSE)</f>
        <v>Ministry of Energy and Mineral Development</v>
      </c>
      <c r="F42" t="str">
        <f>CONCATENATE(MasterTable[[#This Row],[Vote]]," ",MasterTable[[#This Row],[Vote Name]])</f>
        <v>017 Ministry of Energy and Mineral Development</v>
      </c>
      <c r="G42" t="s">
        <v>19</v>
      </c>
      <c r="H42" s="16">
        <v>44013</v>
      </c>
      <c r="I42" s="16">
        <v>45838</v>
      </c>
      <c r="J42" t="s">
        <v>20</v>
      </c>
      <c r="K42" t="s">
        <v>21</v>
      </c>
      <c r="L42" s="17">
        <v>0</v>
      </c>
      <c r="M42" s="17">
        <v>20002028000</v>
      </c>
      <c r="N42" s="17"/>
      <c r="O42" s="17">
        <v>29900000000</v>
      </c>
      <c r="P42" s="17"/>
      <c r="Q42" s="17">
        <v>29900000000</v>
      </c>
      <c r="R42" s="17">
        <v>43002028000</v>
      </c>
      <c r="S42" s="17">
        <v>47002028000</v>
      </c>
      <c r="T42" s="17">
        <v>44002028000</v>
      </c>
      <c r="U42" s="17"/>
      <c r="V42" s="17">
        <v>0</v>
      </c>
      <c r="W42" s="17">
        <v>183908112000</v>
      </c>
      <c r="X42" s="17">
        <v>174000000000</v>
      </c>
      <c r="Y42" t="s">
        <v>59</v>
      </c>
    </row>
    <row r="43" spans="1:27" x14ac:dyDescent="0.25">
      <c r="A43" t="s">
        <v>340</v>
      </c>
      <c r="B43" t="s">
        <v>73</v>
      </c>
      <c r="C43" t="str">
        <f>VLOOKUP(MasterTable[[#This Row],[Project Code and Name ]],PAProjects[LINKING_CODE],1,FALSE)</f>
        <v>1344 Renovation and Equipping of Kayunga and Yumbe General Hospitals</v>
      </c>
      <c r="D43" t="s">
        <v>97</v>
      </c>
      <c r="E43" t="str">
        <f>VLOOKUP(MasterTable[[#This Row],[Vote]],'MTEF 21-22'!A:B,2,FALSE)</f>
        <v>Ministry of Health</v>
      </c>
      <c r="F43" t="str">
        <f>CONCATENATE(MasterTable[[#This Row],[Vote]]," ",MasterTable[[#This Row],[Vote Name]])</f>
        <v>014 Ministry of Health</v>
      </c>
      <c r="G43" t="s">
        <v>19</v>
      </c>
      <c r="H43" s="16">
        <v>42109</v>
      </c>
      <c r="I43" s="16">
        <v>44742</v>
      </c>
      <c r="J43" t="s">
        <v>20</v>
      </c>
      <c r="K43" t="s">
        <v>36</v>
      </c>
      <c r="L43" s="17">
        <v>16505000000</v>
      </c>
      <c r="M43" s="17">
        <v>2880000000</v>
      </c>
      <c r="N43" s="17"/>
      <c r="O43" s="17">
        <v>1579000000</v>
      </c>
      <c r="P43" s="17"/>
      <c r="Q43" s="17">
        <v>1579000000</v>
      </c>
      <c r="R43" s="17">
        <v>0</v>
      </c>
      <c r="S43" s="17">
        <v>0</v>
      </c>
      <c r="T43" s="17">
        <v>0</v>
      </c>
      <c r="U43" s="17">
        <v>0</v>
      </c>
      <c r="V43" s="17">
        <v>0</v>
      </c>
      <c r="W43" s="17">
        <v>20964000000</v>
      </c>
      <c r="X43" s="17">
        <v>140000000000</v>
      </c>
      <c r="Y43" t="s">
        <v>74</v>
      </c>
      <c r="AA43" t="s">
        <v>23</v>
      </c>
    </row>
    <row r="44" spans="1:27" x14ac:dyDescent="0.25">
      <c r="A44" t="s">
        <v>340</v>
      </c>
      <c r="B44" t="s">
        <v>73</v>
      </c>
      <c r="C44" t="str">
        <f>VLOOKUP(MasterTable[[#This Row],[Project Code and Name ]],PAProjects[LINKING_CODE],1,FALSE)</f>
        <v>1344 Renovation and Equipping of Kayunga and Yumbe General Hospitals</v>
      </c>
      <c r="D44" t="s">
        <v>97</v>
      </c>
      <c r="E44" t="str">
        <f>VLOOKUP(MasterTable[[#This Row],[Vote]],'MTEF 21-22'!A:B,2,FALSE)</f>
        <v>Ministry of Health</v>
      </c>
      <c r="F44" t="str">
        <f>CONCATENATE(MasterTable[[#This Row],[Vote]]," ",MasterTable[[#This Row],[Vote Name]])</f>
        <v>014 Ministry of Health</v>
      </c>
      <c r="G44" t="s">
        <v>25</v>
      </c>
      <c r="H44" s="16">
        <v>42109</v>
      </c>
      <c r="I44" s="16">
        <v>44742</v>
      </c>
      <c r="J44" t="s">
        <v>20</v>
      </c>
      <c r="K44" t="s">
        <v>36</v>
      </c>
      <c r="L44" s="17">
        <v>99855000000</v>
      </c>
      <c r="M44" s="17">
        <v>30830000000</v>
      </c>
      <c r="N44" s="17"/>
      <c r="O44" s="17">
        <v>0</v>
      </c>
      <c r="P44" s="17">
        <v>3395400000</v>
      </c>
      <c r="Q44" s="17">
        <v>3395400000</v>
      </c>
      <c r="R44" s="17">
        <v>0</v>
      </c>
      <c r="S44" s="17">
        <v>0</v>
      </c>
      <c r="T44" s="17">
        <v>0</v>
      </c>
      <c r="U44" s="17">
        <v>0</v>
      </c>
      <c r="V44" s="17">
        <v>0</v>
      </c>
      <c r="W44" s="17">
        <v>134080400000</v>
      </c>
      <c r="X44" s="17"/>
      <c r="Y44" t="s">
        <v>75</v>
      </c>
      <c r="AA44" t="s">
        <v>28</v>
      </c>
    </row>
    <row r="45" spans="1:27" x14ac:dyDescent="0.25">
      <c r="A45" t="s">
        <v>340</v>
      </c>
      <c r="B45" t="s">
        <v>76</v>
      </c>
      <c r="C45" t="str">
        <f>VLOOKUP(MasterTable[[#This Row],[Project Code and Name ]],PAProjects[LINKING_CODE],1,FALSE)</f>
        <v>0220 Global Fund for AIDS, TB and Malaria</v>
      </c>
      <c r="D45" t="s">
        <v>97</v>
      </c>
      <c r="E45" t="str">
        <f>VLOOKUP(MasterTable[[#This Row],[Vote]],'MTEF 21-22'!A:B,2,FALSE)</f>
        <v>Ministry of Health</v>
      </c>
      <c r="F45" t="str">
        <f>CONCATENATE(MasterTable[[#This Row],[Vote]]," ",MasterTable[[#This Row],[Vote Name]])</f>
        <v>014 Ministry of Health</v>
      </c>
      <c r="G45" t="s">
        <v>19</v>
      </c>
      <c r="H45" s="16">
        <v>43101</v>
      </c>
      <c r="I45" s="16">
        <v>44926</v>
      </c>
      <c r="J45" t="s">
        <v>35</v>
      </c>
      <c r="K45" t="s">
        <v>26</v>
      </c>
      <c r="L45" s="17">
        <v>10725805731</v>
      </c>
      <c r="M45" s="17">
        <v>5575268577</v>
      </c>
      <c r="N45" s="17">
        <v>154498413</v>
      </c>
      <c r="O45" s="17">
        <v>5575268577</v>
      </c>
      <c r="P45" s="17">
        <v>5575268577</v>
      </c>
      <c r="Q45" s="17">
        <v>11305035567</v>
      </c>
      <c r="R45" s="17"/>
      <c r="S45" s="17"/>
      <c r="T45" s="17"/>
      <c r="U45" s="17">
        <v>0</v>
      </c>
      <c r="V45" s="17">
        <v>0</v>
      </c>
      <c r="W45" s="17">
        <v>27606109875</v>
      </c>
      <c r="X45" s="17">
        <v>1125461552000</v>
      </c>
      <c r="Y45" t="s">
        <v>77</v>
      </c>
    </row>
    <row r="46" spans="1:27" x14ac:dyDescent="0.25">
      <c r="A46" t="s">
        <v>340</v>
      </c>
      <c r="B46" t="s">
        <v>76</v>
      </c>
      <c r="C46" t="str">
        <f>VLOOKUP(MasterTable[[#This Row],[Project Code and Name ]],PAProjects[LINKING_CODE],1,FALSE)</f>
        <v>0220 Global Fund for AIDS, TB and Malaria</v>
      </c>
      <c r="D46" t="s">
        <v>97</v>
      </c>
      <c r="E46" t="str">
        <f>VLOOKUP(MasterTable[[#This Row],[Vote]],'MTEF 21-22'!A:B,2,FALSE)</f>
        <v>Ministry of Health</v>
      </c>
      <c r="F46" t="str">
        <f>CONCATENATE(MasterTable[[#This Row],[Vote]]," ",MasterTable[[#This Row],[Vote Name]])</f>
        <v>014 Ministry of Health</v>
      </c>
      <c r="G46" t="s">
        <v>25</v>
      </c>
      <c r="H46" s="16">
        <v>43101</v>
      </c>
      <c r="I46" s="16">
        <v>44926</v>
      </c>
      <c r="J46" t="s">
        <v>35</v>
      </c>
      <c r="K46" t="s">
        <v>26</v>
      </c>
      <c r="L46" s="17">
        <v>1422631307300</v>
      </c>
      <c r="M46" s="17">
        <v>703030000000</v>
      </c>
      <c r="N46" s="17">
        <v>0</v>
      </c>
      <c r="O46" s="17">
        <v>0</v>
      </c>
      <c r="P46" s="17">
        <v>703030000000</v>
      </c>
      <c r="Q46" s="17">
        <v>703030000000</v>
      </c>
      <c r="R46" s="17">
        <v>0</v>
      </c>
      <c r="S46" s="17">
        <v>0</v>
      </c>
      <c r="T46" s="17">
        <v>0</v>
      </c>
      <c r="U46" s="17">
        <v>0</v>
      </c>
      <c r="V46" s="17">
        <v>0</v>
      </c>
      <c r="W46" s="17">
        <v>2828691307300</v>
      </c>
      <c r="X46" s="17"/>
      <c r="Y46" t="s">
        <v>78</v>
      </c>
    </row>
    <row r="47" spans="1:27" x14ac:dyDescent="0.25">
      <c r="A47" t="s">
        <v>340</v>
      </c>
      <c r="B47" t="s">
        <v>79</v>
      </c>
      <c r="C47" t="str">
        <f>VLOOKUP(MasterTable[[#This Row],[Project Code and Name ]],PAProjects[LINKING_CODE],1,FALSE)</f>
        <v>1436 GAVI Vaccines and Health Sector Development Plan Support</v>
      </c>
      <c r="D47" t="s">
        <v>97</v>
      </c>
      <c r="E47" t="str">
        <f>VLOOKUP(MasterTable[[#This Row],[Vote]],'MTEF 21-22'!A:B,2,FALSE)</f>
        <v>Ministry of Health</v>
      </c>
      <c r="F47" t="str">
        <f>CONCATENATE(MasterTable[[#This Row],[Vote]]," ",MasterTable[[#This Row],[Vote Name]])</f>
        <v>014 Ministry of Health</v>
      </c>
      <c r="G47" t="s">
        <v>19</v>
      </c>
      <c r="H47" s="16">
        <v>42917</v>
      </c>
      <c r="I47" s="16">
        <v>44742</v>
      </c>
      <c r="J47" t="s">
        <v>20</v>
      </c>
      <c r="K47" t="s">
        <v>26</v>
      </c>
      <c r="L47" s="17">
        <v>34000000000</v>
      </c>
      <c r="M47" s="17">
        <v>11093484000</v>
      </c>
      <c r="N47" s="17">
        <v>0</v>
      </c>
      <c r="O47" s="17">
        <v>16000000000</v>
      </c>
      <c r="P47" s="17"/>
      <c r="Q47" s="17">
        <v>16000000000</v>
      </c>
      <c r="R47" s="17"/>
      <c r="S47" s="17"/>
      <c r="T47" s="17"/>
      <c r="U47" s="17">
        <v>0</v>
      </c>
      <c r="V47" s="17">
        <v>0</v>
      </c>
      <c r="W47" s="17">
        <v>61093484000</v>
      </c>
      <c r="X47" s="17">
        <v>526000000000</v>
      </c>
      <c r="Y47" t="s">
        <v>80</v>
      </c>
    </row>
    <row r="48" spans="1:27" x14ac:dyDescent="0.25">
      <c r="A48" t="s">
        <v>340</v>
      </c>
      <c r="B48" t="s">
        <v>79</v>
      </c>
      <c r="C48" t="str">
        <f>VLOOKUP(MasterTable[[#This Row],[Project Code and Name ]],PAProjects[LINKING_CODE],1,FALSE)</f>
        <v>1436 GAVI Vaccines and Health Sector Development Plan Support</v>
      </c>
      <c r="D48" t="s">
        <v>97</v>
      </c>
      <c r="E48" t="str">
        <f>VLOOKUP(MasterTable[[#This Row],[Vote]],'MTEF 21-22'!A:B,2,FALSE)</f>
        <v>Ministry of Health</v>
      </c>
      <c r="F48" t="str">
        <f>CONCATENATE(MasterTable[[#This Row],[Vote]]," ",MasterTable[[#This Row],[Vote Name]])</f>
        <v>014 Ministry of Health</v>
      </c>
      <c r="G48" t="s">
        <v>25</v>
      </c>
      <c r="H48" s="16">
        <v>42918</v>
      </c>
      <c r="I48" s="16">
        <v>44743</v>
      </c>
      <c r="J48" t="s">
        <v>20</v>
      </c>
      <c r="K48" t="s">
        <v>26</v>
      </c>
      <c r="L48" s="17">
        <v>385000000000</v>
      </c>
      <c r="M48" s="17">
        <v>36735129920</v>
      </c>
      <c r="N48" s="17">
        <v>0</v>
      </c>
      <c r="O48" s="17"/>
      <c r="P48" s="17">
        <v>36730000000</v>
      </c>
      <c r="Q48" s="17">
        <v>36730000000</v>
      </c>
      <c r="R48" s="17"/>
      <c r="S48" s="17"/>
      <c r="T48" s="17"/>
      <c r="U48" s="17">
        <v>0</v>
      </c>
      <c r="V48" s="17">
        <v>0</v>
      </c>
      <c r="W48" s="17">
        <v>458465129920</v>
      </c>
      <c r="X48" s="17"/>
      <c r="Y48" t="s">
        <v>81</v>
      </c>
    </row>
    <row r="49" spans="1:27" x14ac:dyDescent="0.25">
      <c r="A49" t="s">
        <v>340</v>
      </c>
      <c r="B49" t="s">
        <v>82</v>
      </c>
      <c r="C49" t="str">
        <f>VLOOKUP(MasterTable[[#This Row],[Project Code and Name ]],PAProjects[LINKING_CODE],1,FALSE)</f>
        <v>1440 Uganda Reproductive Maternal and Child Health Services Improvement Project</v>
      </c>
      <c r="D49" t="s">
        <v>97</v>
      </c>
      <c r="E49" t="str">
        <f>VLOOKUP(MasterTable[[#This Row],[Vote]],'MTEF 21-22'!A:B,2,FALSE)</f>
        <v>Ministry of Health</v>
      </c>
      <c r="F49" t="str">
        <f>CONCATENATE(MasterTable[[#This Row],[Vote]]," ",MasterTable[[#This Row],[Vote Name]])</f>
        <v>014 Ministry of Health</v>
      </c>
      <c r="G49" t="s">
        <v>19</v>
      </c>
      <c r="H49" s="16">
        <v>42881</v>
      </c>
      <c r="I49" s="16">
        <v>44926</v>
      </c>
      <c r="J49" t="s">
        <v>20</v>
      </c>
      <c r="K49" t="s">
        <v>36</v>
      </c>
      <c r="L49" s="17">
        <v>800000000</v>
      </c>
      <c r="M49" s="17">
        <v>200000000</v>
      </c>
      <c r="N49" s="17"/>
      <c r="O49" s="17">
        <v>200000000</v>
      </c>
      <c r="P49" s="17"/>
      <c r="Q49" s="17">
        <v>200000000</v>
      </c>
      <c r="R49" s="17"/>
      <c r="S49" s="17">
        <v>0</v>
      </c>
      <c r="T49" s="17">
        <v>0</v>
      </c>
      <c r="U49" s="17"/>
      <c r="V49" s="17"/>
      <c r="W49" s="17">
        <v>1200000000</v>
      </c>
      <c r="X49" s="17">
        <v>532000000000</v>
      </c>
      <c r="Y49" t="s">
        <v>83</v>
      </c>
    </row>
    <row r="50" spans="1:27" x14ac:dyDescent="0.25">
      <c r="A50" t="s">
        <v>340</v>
      </c>
      <c r="B50" t="s">
        <v>82</v>
      </c>
      <c r="C50" t="str">
        <f>VLOOKUP(MasterTable[[#This Row],[Project Code and Name ]],PAProjects[LINKING_CODE],1,FALSE)</f>
        <v>1440 Uganda Reproductive Maternal and Child Health Services Improvement Project</v>
      </c>
      <c r="D50" t="s">
        <v>97</v>
      </c>
      <c r="E50" t="str">
        <f>VLOOKUP(MasterTable[[#This Row],[Vote]],'MTEF 21-22'!A:B,2,FALSE)</f>
        <v>Ministry of Health</v>
      </c>
      <c r="F50" t="str">
        <f>CONCATENATE(MasterTable[[#This Row],[Vote]]," ",MasterTable[[#This Row],[Vote Name]])</f>
        <v>014 Ministry of Health</v>
      </c>
      <c r="G50" t="s">
        <v>25</v>
      </c>
      <c r="H50" s="16">
        <v>42881</v>
      </c>
      <c r="I50" s="16">
        <v>44926</v>
      </c>
      <c r="J50" t="s">
        <v>20</v>
      </c>
      <c r="K50" t="s">
        <v>36</v>
      </c>
      <c r="L50" s="17">
        <v>138544180100</v>
      </c>
      <c r="M50" s="17">
        <v>332420000000</v>
      </c>
      <c r="N50" s="17">
        <v>0</v>
      </c>
      <c r="O50" s="17"/>
      <c r="P50" s="17">
        <v>242970667600</v>
      </c>
      <c r="Q50" s="17">
        <v>242970667600</v>
      </c>
      <c r="R50" s="17"/>
      <c r="S50" s="17"/>
      <c r="T50" s="17">
        <v>0</v>
      </c>
      <c r="U50" s="17"/>
      <c r="V50" s="17"/>
      <c r="W50" s="17">
        <v>713934847700</v>
      </c>
      <c r="X50" s="17"/>
      <c r="Y50" t="s">
        <v>84</v>
      </c>
    </row>
    <row r="51" spans="1:27" x14ac:dyDescent="0.25">
      <c r="A51" t="s">
        <v>340</v>
      </c>
      <c r="B51" t="s">
        <v>85</v>
      </c>
      <c r="C51" t="str">
        <f>VLOOKUP(MasterTable[[#This Row],[Project Code and Name ]],PAProjects[LINKING_CODE],1,FALSE)</f>
        <v>1539 Italian Support to Health Sector Development Plan- Karamoja Infrastructure Development Project Phase II</v>
      </c>
      <c r="D51" t="s">
        <v>97</v>
      </c>
      <c r="E51" t="str">
        <f>VLOOKUP(MasterTable[[#This Row],[Vote]],'MTEF 21-22'!A:B,2,FALSE)</f>
        <v>Ministry of Health</v>
      </c>
      <c r="F51" t="str">
        <f>CONCATENATE(MasterTable[[#This Row],[Vote]]," ",MasterTable[[#This Row],[Vote Name]])</f>
        <v>014 Ministry of Health</v>
      </c>
      <c r="G51" t="s">
        <v>19</v>
      </c>
      <c r="H51" s="16">
        <v>44013</v>
      </c>
      <c r="I51" s="16">
        <v>45838</v>
      </c>
      <c r="J51" t="s">
        <v>20</v>
      </c>
      <c r="K51" t="s">
        <v>36</v>
      </c>
      <c r="L51" s="17">
        <v>209380000</v>
      </c>
      <c r="M51" s="17">
        <v>361000000</v>
      </c>
      <c r="N51" s="17">
        <v>0</v>
      </c>
      <c r="O51" s="17">
        <v>361000000</v>
      </c>
      <c r="P51" s="17"/>
      <c r="Q51" s="17">
        <v>361000000</v>
      </c>
      <c r="R51" s="17">
        <v>4820000000</v>
      </c>
      <c r="S51" s="17">
        <v>7640000000</v>
      </c>
      <c r="T51" s="17">
        <v>361000000</v>
      </c>
      <c r="U51" s="17">
        <v>0</v>
      </c>
      <c r="V51" s="17">
        <v>0</v>
      </c>
      <c r="W51" s="17">
        <v>13752380000</v>
      </c>
      <c r="X51" s="17">
        <v>20000000000</v>
      </c>
      <c r="Y51" t="s">
        <v>86</v>
      </c>
    </row>
    <row r="52" spans="1:27" x14ac:dyDescent="0.25">
      <c r="A52" t="s">
        <v>340</v>
      </c>
      <c r="B52" t="s">
        <v>85</v>
      </c>
      <c r="C52" t="str">
        <f>VLOOKUP(MasterTable[[#This Row],[Project Code and Name ]],PAProjects[LINKING_CODE],1,FALSE)</f>
        <v>1539 Italian Support to Health Sector Development Plan- Karamoja Infrastructure Development Project Phase II</v>
      </c>
      <c r="D52" t="s">
        <v>97</v>
      </c>
      <c r="E52" t="str">
        <f>VLOOKUP(MasterTable[[#This Row],[Vote]],'MTEF 21-22'!A:B,2,FALSE)</f>
        <v>Ministry of Health</v>
      </c>
      <c r="F52" t="str">
        <f>CONCATENATE(MasterTable[[#This Row],[Vote]]," ",MasterTable[[#This Row],[Vote Name]])</f>
        <v>014 Ministry of Health</v>
      </c>
      <c r="G52" t="s">
        <v>25</v>
      </c>
      <c r="H52" s="16">
        <v>44013</v>
      </c>
      <c r="I52" s="16">
        <v>45839</v>
      </c>
      <c r="J52" t="s">
        <v>20</v>
      </c>
      <c r="K52" t="s">
        <v>36</v>
      </c>
      <c r="L52" s="17">
        <v>0</v>
      </c>
      <c r="M52" s="17">
        <v>12937486862</v>
      </c>
      <c r="N52" s="17">
        <v>0</v>
      </c>
      <c r="O52" s="17">
        <v>0</v>
      </c>
      <c r="P52" s="17">
        <v>13298490161</v>
      </c>
      <c r="Q52" s="17">
        <v>13298490161</v>
      </c>
      <c r="R52" s="17">
        <v>13298490161</v>
      </c>
      <c r="S52" s="17">
        <v>43212574213</v>
      </c>
      <c r="T52" s="17">
        <v>0</v>
      </c>
      <c r="U52" s="17"/>
      <c r="V52" s="17"/>
      <c r="W52" s="17">
        <v>82747041397</v>
      </c>
      <c r="X52" s="17"/>
      <c r="Y52" t="s">
        <v>87</v>
      </c>
    </row>
    <row r="53" spans="1:27" x14ac:dyDescent="0.25">
      <c r="A53" t="s">
        <v>340</v>
      </c>
      <c r="B53" t="s">
        <v>88</v>
      </c>
      <c r="C53" t="str">
        <f>VLOOKUP(MasterTable[[#This Row],[Project Code and Name ]],PAProjects[LINKING_CODE],1,FALSE)</f>
        <v>1243 Rehabilitation and Construction of General Hospitals</v>
      </c>
      <c r="D53" t="s">
        <v>97</v>
      </c>
      <c r="E53" t="str">
        <f>VLOOKUP(MasterTable[[#This Row],[Vote]],'MTEF 21-22'!A:B,2,FALSE)</f>
        <v>Ministry of Health</v>
      </c>
      <c r="F53" t="str">
        <f>CONCATENATE(MasterTable[[#This Row],[Vote]]," ",MasterTable[[#This Row],[Vote Name]])</f>
        <v>014 Ministry of Health</v>
      </c>
      <c r="G53" t="s">
        <v>19</v>
      </c>
      <c r="H53" s="16">
        <v>41091</v>
      </c>
      <c r="I53" s="16">
        <v>44742</v>
      </c>
      <c r="J53" t="s">
        <v>20</v>
      </c>
      <c r="K53" t="s">
        <v>36</v>
      </c>
      <c r="L53" s="17">
        <v>7680000000</v>
      </c>
      <c r="M53" s="17">
        <v>9290000000</v>
      </c>
      <c r="N53" s="17">
        <v>0</v>
      </c>
      <c r="O53" s="17">
        <v>3840000000</v>
      </c>
      <c r="P53" s="17"/>
      <c r="Q53" s="17">
        <v>3840000000</v>
      </c>
      <c r="R53" s="17"/>
      <c r="S53" s="17"/>
      <c r="T53" s="17">
        <v>0</v>
      </c>
      <c r="U53" s="17">
        <v>0</v>
      </c>
      <c r="V53" s="17">
        <v>0</v>
      </c>
      <c r="W53" s="17">
        <v>20810000000</v>
      </c>
      <c r="X53" s="17">
        <v>62000000000</v>
      </c>
      <c r="Y53" t="s">
        <v>89</v>
      </c>
    </row>
    <row r="54" spans="1:27" x14ac:dyDescent="0.25">
      <c r="A54" t="s">
        <v>340</v>
      </c>
      <c r="B54" t="s">
        <v>88</v>
      </c>
      <c r="C54" t="str">
        <f>VLOOKUP(MasterTable[[#This Row],[Project Code and Name ]],PAProjects[LINKING_CODE],1,FALSE)</f>
        <v>1243 Rehabilitation and Construction of General Hospitals</v>
      </c>
      <c r="D54" t="s">
        <v>97</v>
      </c>
      <c r="E54" t="str">
        <f>VLOOKUP(MasterTable[[#This Row],[Vote]],'MTEF 21-22'!A:B,2,FALSE)</f>
        <v>Ministry of Health</v>
      </c>
      <c r="F54" t="str">
        <f>CONCATENATE(MasterTable[[#This Row],[Vote]]," ",MasterTable[[#This Row],[Vote Name]])</f>
        <v>014 Ministry of Health</v>
      </c>
      <c r="G54" t="s">
        <v>25</v>
      </c>
      <c r="H54" s="16">
        <v>41091</v>
      </c>
      <c r="I54" s="16">
        <v>44742</v>
      </c>
      <c r="J54" t="s">
        <v>20</v>
      </c>
      <c r="K54" t="s">
        <v>36</v>
      </c>
      <c r="L54" s="17">
        <v>18580000000</v>
      </c>
      <c r="M54" s="17">
        <v>3840000000</v>
      </c>
      <c r="N54" s="17">
        <v>0</v>
      </c>
      <c r="O54" s="17"/>
      <c r="P54" s="17">
        <v>9290000000</v>
      </c>
      <c r="Q54" s="17">
        <v>9290000000</v>
      </c>
      <c r="R54" s="17"/>
      <c r="S54" s="17"/>
      <c r="T54" s="17">
        <v>0</v>
      </c>
      <c r="U54" s="17">
        <v>0</v>
      </c>
      <c r="V54" s="17">
        <v>0</v>
      </c>
      <c r="W54" s="17">
        <v>31710000000</v>
      </c>
      <c r="X54" s="17"/>
      <c r="Y54" t="s">
        <v>90</v>
      </c>
    </row>
    <row r="55" spans="1:27" x14ac:dyDescent="0.25">
      <c r="A55" t="s">
        <v>340</v>
      </c>
      <c r="B55" t="s">
        <v>91</v>
      </c>
      <c r="C55" t="str">
        <f>VLOOKUP(MasterTable[[#This Row],[Project Code and Name ]],PAProjects[LINKING_CODE],1,FALSE)</f>
        <v>1566 Retooling of Ministry of Health</v>
      </c>
      <c r="D55" t="s">
        <v>97</v>
      </c>
      <c r="E55" t="str">
        <f>VLOOKUP(MasterTable[[#This Row],[Vote]],'MTEF 21-22'!A:B,2,FALSE)</f>
        <v>Ministry of Health</v>
      </c>
      <c r="F55" t="str">
        <f>CONCATENATE(MasterTable[[#This Row],[Vote]]," ",MasterTable[[#This Row],[Vote Name]])</f>
        <v>014 Ministry of Health</v>
      </c>
      <c r="G55" t="s">
        <v>19</v>
      </c>
      <c r="H55" s="16">
        <v>40360</v>
      </c>
      <c r="I55" s="16">
        <v>45838</v>
      </c>
      <c r="J55" t="s">
        <v>20</v>
      </c>
      <c r="K55" t="s">
        <v>21</v>
      </c>
      <c r="L55" s="17">
        <v>4200000000</v>
      </c>
      <c r="M55" s="17">
        <v>33819470358</v>
      </c>
      <c r="N55" s="17"/>
      <c r="O55" s="17">
        <v>1471167287</v>
      </c>
      <c r="P55" s="17">
        <v>19800000000</v>
      </c>
      <c r="Q55" s="17">
        <v>21271167287</v>
      </c>
      <c r="R55" s="17">
        <v>1471167287</v>
      </c>
      <c r="S55" s="17">
        <v>2691167287</v>
      </c>
      <c r="T55" s="17">
        <v>2855000000</v>
      </c>
      <c r="U55" s="17">
        <v>0</v>
      </c>
      <c r="V55" s="17">
        <v>0</v>
      </c>
      <c r="W55" s="17">
        <v>66307972219</v>
      </c>
      <c r="X55" s="17">
        <v>21000000000</v>
      </c>
      <c r="Y55" t="s">
        <v>92</v>
      </c>
    </row>
    <row r="56" spans="1:27" x14ac:dyDescent="0.25">
      <c r="A56" t="s">
        <v>340</v>
      </c>
      <c r="B56" s="18" t="s">
        <v>93</v>
      </c>
      <c r="C56" s="18" t="str">
        <f>VLOOKUP(MasterTable[[#This Row],[Project Code and Name ]],PAProjects[LINKING_CODE],1,FALSE)</f>
        <v>1519 Strengthening Capacity of Regional Referral Hospitals-DRIVE</v>
      </c>
      <c r="D56" s="18" t="s">
        <v>97</v>
      </c>
      <c r="E56" s="18" t="str">
        <f>VLOOKUP(MasterTable[[#This Row],[Vote]],'MTEF 21-22'!A:B,2,FALSE)</f>
        <v>Ministry of Health</v>
      </c>
      <c r="F56" s="18" t="str">
        <f>CONCATENATE(MasterTable[[#This Row],[Vote]]," ",MasterTable[[#This Row],[Vote Name]])</f>
        <v>014 Ministry of Health</v>
      </c>
      <c r="G56" t="s">
        <v>19</v>
      </c>
      <c r="H56" s="16">
        <v>43282</v>
      </c>
      <c r="I56" s="16">
        <v>45838</v>
      </c>
      <c r="J56" t="s">
        <v>20</v>
      </c>
      <c r="K56" t="s">
        <v>36</v>
      </c>
      <c r="L56" s="17">
        <v>3000000000</v>
      </c>
      <c r="M56" s="17">
        <v>1000000000</v>
      </c>
      <c r="N56" s="17">
        <v>0</v>
      </c>
      <c r="O56" s="17">
        <v>0</v>
      </c>
      <c r="P56" s="17">
        <v>1000000000</v>
      </c>
      <c r="Q56" s="17">
        <v>1000000000</v>
      </c>
      <c r="R56" s="17">
        <v>0</v>
      </c>
      <c r="S56" s="17">
        <v>0</v>
      </c>
      <c r="T56" s="17">
        <v>0</v>
      </c>
      <c r="U56" s="17"/>
      <c r="V56" s="17"/>
      <c r="W56" s="17">
        <v>5000000000</v>
      </c>
      <c r="X56" s="17">
        <v>193500000000</v>
      </c>
      <c r="Y56" t="s">
        <v>94</v>
      </c>
    </row>
    <row r="57" spans="1:27" x14ac:dyDescent="0.25">
      <c r="A57" t="s">
        <v>340</v>
      </c>
      <c r="B57" s="18" t="s">
        <v>93</v>
      </c>
      <c r="C57" s="18" t="str">
        <f>VLOOKUP(MasterTable[[#This Row],[Project Code and Name ]],PAProjects[LINKING_CODE],1,FALSE)</f>
        <v>1519 Strengthening Capacity of Regional Referral Hospitals-DRIVE</v>
      </c>
      <c r="D57" s="18" t="s">
        <v>97</v>
      </c>
      <c r="E57" s="18" t="str">
        <f>VLOOKUP(MasterTable[[#This Row],[Vote]],'MTEF 21-22'!A:B,2,FALSE)</f>
        <v>Ministry of Health</v>
      </c>
      <c r="F57" s="18" t="str">
        <f>CONCATENATE(MasterTable[[#This Row],[Vote]]," ",MasterTable[[#This Row],[Vote Name]])</f>
        <v>014 Ministry of Health</v>
      </c>
      <c r="G57" t="s">
        <v>25</v>
      </c>
      <c r="H57" s="16">
        <v>43282</v>
      </c>
      <c r="I57" s="16">
        <v>45838</v>
      </c>
      <c r="J57" t="s">
        <v>20</v>
      </c>
      <c r="K57" t="s">
        <v>36</v>
      </c>
      <c r="L57" s="17">
        <v>0</v>
      </c>
      <c r="M57" s="17">
        <v>0</v>
      </c>
      <c r="N57" s="17">
        <v>0</v>
      </c>
      <c r="O57" s="17">
        <v>0</v>
      </c>
      <c r="P57" s="17">
        <v>0</v>
      </c>
      <c r="Q57" s="17">
        <v>0</v>
      </c>
      <c r="R57" s="17">
        <v>0</v>
      </c>
      <c r="S57" s="17">
        <v>0</v>
      </c>
      <c r="T57" s="17">
        <v>0</v>
      </c>
      <c r="U57" s="17"/>
      <c r="V57" s="17"/>
      <c r="W57" s="17">
        <v>0</v>
      </c>
      <c r="X57" s="17">
        <v>0</v>
      </c>
      <c r="Y57" t="s">
        <v>95</v>
      </c>
    </row>
    <row r="58" spans="1:27" x14ac:dyDescent="0.25">
      <c r="A58" t="s">
        <v>340</v>
      </c>
      <c r="B58" t="s">
        <v>76</v>
      </c>
      <c r="C58" t="str">
        <f>VLOOKUP(MasterTable[[#This Row],[Project Code and Name ]],PAProjects[LINKING_CODE],1,FALSE)</f>
        <v>0220 Global Fund for AIDS, TB and Malaria</v>
      </c>
      <c r="D58" t="s">
        <v>97</v>
      </c>
      <c r="E58" t="str">
        <f>VLOOKUP(MasterTable[[#This Row],[Vote]],'MTEF 21-22'!A:B,2,FALSE)</f>
        <v>Ministry of Health</v>
      </c>
      <c r="F58" t="str">
        <f>CONCATENATE(MasterTable[[#This Row],[Vote]]," ",MasterTable[[#This Row],[Vote Name]])</f>
        <v>014 Ministry of Health</v>
      </c>
      <c r="G58" t="s">
        <v>19</v>
      </c>
      <c r="H58" s="16">
        <v>40360</v>
      </c>
      <c r="I58" s="16">
        <v>44742</v>
      </c>
      <c r="J58" t="s">
        <v>40</v>
      </c>
      <c r="K58" t="s">
        <v>26</v>
      </c>
      <c r="L58" s="17">
        <v>0</v>
      </c>
      <c r="M58" s="17">
        <v>0</v>
      </c>
      <c r="N58" s="17">
        <v>0</v>
      </c>
      <c r="O58" s="17">
        <v>5575268577</v>
      </c>
      <c r="P58" s="17"/>
      <c r="Q58" s="17">
        <v>5575268577</v>
      </c>
      <c r="R58" s="17">
        <v>0</v>
      </c>
      <c r="S58" s="17">
        <v>0</v>
      </c>
      <c r="T58" s="17">
        <v>0</v>
      </c>
      <c r="U58" s="17"/>
      <c r="V58" s="17"/>
      <c r="W58" s="17">
        <v>5575268577</v>
      </c>
      <c r="X58" s="17"/>
      <c r="Y58" t="s">
        <v>96</v>
      </c>
    </row>
    <row r="59" spans="1:27" x14ac:dyDescent="0.25">
      <c r="A59" t="s">
        <v>340</v>
      </c>
      <c r="B59" t="s">
        <v>76</v>
      </c>
      <c r="C59" t="str">
        <f>VLOOKUP(MasterTable[[#This Row],[Project Code and Name ]],PAProjects[LINKING_CODE],1,FALSE)</f>
        <v>0220 Global Fund for AIDS, TB and Malaria</v>
      </c>
      <c r="D59" t="s">
        <v>97</v>
      </c>
      <c r="E59" t="str">
        <f>VLOOKUP(MasterTable[[#This Row],[Vote]],'MTEF 21-22'!A:B,2,FALSE)</f>
        <v>Ministry of Health</v>
      </c>
      <c r="F59" t="str">
        <f>CONCATENATE(MasterTable[[#This Row],[Vote]]," ",MasterTable[[#This Row],[Vote Name]])</f>
        <v>014 Ministry of Health</v>
      </c>
      <c r="G59" t="s">
        <v>25</v>
      </c>
      <c r="H59" s="16">
        <v>40360</v>
      </c>
      <c r="I59" s="16">
        <v>44742</v>
      </c>
      <c r="J59" t="s">
        <v>40</v>
      </c>
      <c r="K59" t="s">
        <v>26</v>
      </c>
      <c r="L59" s="17">
        <v>0</v>
      </c>
      <c r="M59" s="17">
        <v>0</v>
      </c>
      <c r="N59" s="17">
        <v>0</v>
      </c>
      <c r="O59" s="17"/>
      <c r="P59" s="17">
        <v>448407122863</v>
      </c>
      <c r="Q59" s="17">
        <v>448407122863</v>
      </c>
      <c r="R59" s="17">
        <v>0</v>
      </c>
      <c r="S59" s="17">
        <v>0</v>
      </c>
      <c r="T59" s="17">
        <v>0</v>
      </c>
      <c r="U59" s="17"/>
      <c r="V59" s="17"/>
      <c r="W59" s="17">
        <v>448407122863</v>
      </c>
      <c r="X59" s="17"/>
      <c r="Y59" t="s">
        <v>96</v>
      </c>
    </row>
    <row r="60" spans="1:27" x14ac:dyDescent="0.25">
      <c r="A60" t="s">
        <v>341</v>
      </c>
      <c r="B60" t="s">
        <v>342</v>
      </c>
      <c r="C60" t="str">
        <f>VLOOKUP(MasterTable[[#This Row],[Project Code and Name ]],PAProjects[LINKING_CODE],1,FALSE)</f>
        <v>1600 Retooling of Ministry of ICT &amp; National Guidance</v>
      </c>
      <c r="D60" t="s">
        <v>69</v>
      </c>
      <c r="E60" t="str">
        <f>VLOOKUP(MasterTable[[#This Row],[Vote]],'MTEF 21-22'!A:B,2,FALSE)</f>
        <v>Ministry of ICT and National Guidance</v>
      </c>
      <c r="F60" t="str">
        <f>CONCATENATE(MasterTable[[#This Row],[Vote]]," ",MasterTable[[#This Row],[Vote Name]])</f>
        <v>020 Ministry of ICT and National Guidance</v>
      </c>
      <c r="G60" t="s">
        <v>19</v>
      </c>
      <c r="H60" s="16">
        <v>44013</v>
      </c>
      <c r="I60" s="16">
        <v>45838</v>
      </c>
      <c r="J60" t="s">
        <v>20</v>
      </c>
      <c r="K60" t="s">
        <v>21</v>
      </c>
      <c r="L60" s="17">
        <v>0</v>
      </c>
      <c r="M60" s="17">
        <v>1600000000</v>
      </c>
      <c r="N60" s="17">
        <v>0</v>
      </c>
      <c r="O60" s="17">
        <v>0</v>
      </c>
      <c r="P60" s="17">
        <v>1600000000</v>
      </c>
      <c r="Q60" s="17">
        <v>1600000000</v>
      </c>
      <c r="R60" s="17">
        <v>1200000000</v>
      </c>
      <c r="S60" s="17">
        <v>1600000000</v>
      </c>
      <c r="T60" s="17">
        <v>1000000000</v>
      </c>
      <c r="U60" s="17"/>
      <c r="V60" s="17"/>
      <c r="W60" s="17">
        <v>7000000000</v>
      </c>
      <c r="X60" s="17">
        <v>7000000000</v>
      </c>
      <c r="AA60" t="s">
        <v>23</v>
      </c>
    </row>
    <row r="61" spans="1:27" x14ac:dyDescent="0.25">
      <c r="A61" t="s">
        <v>343</v>
      </c>
      <c r="B61" t="s">
        <v>344</v>
      </c>
      <c r="C61" t="str">
        <f>VLOOKUP(MasterTable[[#This Row],[Project Code and Name ]],PAProjects[LINKING_CODE],1,FALSE)</f>
        <v>0890 Support to Justice Law and Order Sector</v>
      </c>
      <c r="D61" t="s">
        <v>957</v>
      </c>
      <c r="E61" t="str">
        <f>VLOOKUP(MasterTable[[#This Row],[Vote]],'MTEF 21-22'!A:B,2,FALSE)</f>
        <v>Ministry of Justice and Constitutional Affairs</v>
      </c>
      <c r="F61" t="str">
        <f>CONCATENATE(MasterTable[[#This Row],[Vote]]," ",MasterTable[[#This Row],[Vote Name]])</f>
        <v>007 Ministry of Justice and Constitutional Affairs</v>
      </c>
      <c r="G61" t="s">
        <v>19</v>
      </c>
      <c r="H61" s="16">
        <v>42376</v>
      </c>
      <c r="I61" s="46"/>
      <c r="J61" t="s">
        <v>20</v>
      </c>
      <c r="K61" t="s">
        <v>26</v>
      </c>
      <c r="L61" s="17">
        <v>235000000000</v>
      </c>
      <c r="M61" s="17">
        <v>74729000000</v>
      </c>
      <c r="N61" s="17">
        <v>0</v>
      </c>
      <c r="O61" s="17">
        <v>0</v>
      </c>
      <c r="P61" s="17">
        <v>127641716167</v>
      </c>
      <c r="Q61" s="17">
        <v>127641716167</v>
      </c>
      <c r="R61" s="17">
        <v>0</v>
      </c>
      <c r="S61" s="17">
        <v>0</v>
      </c>
      <c r="T61" s="17">
        <v>0</v>
      </c>
      <c r="U61" s="17"/>
      <c r="V61" s="17">
        <v>0</v>
      </c>
      <c r="W61" s="17">
        <v>437370716167</v>
      </c>
      <c r="X61" s="17"/>
      <c r="AA61" t="s">
        <v>28</v>
      </c>
    </row>
    <row r="62" spans="1:27" x14ac:dyDescent="0.25">
      <c r="A62" t="s">
        <v>343</v>
      </c>
      <c r="B62" t="s">
        <v>344</v>
      </c>
      <c r="C62" t="str">
        <f>VLOOKUP(MasterTable[[#This Row],[Project Code and Name ]],PAProjects[LINKING_CODE],1,FALSE)</f>
        <v>0890 Support to Justice Law and Order Sector</v>
      </c>
      <c r="D62" t="s">
        <v>957</v>
      </c>
      <c r="E62" t="str">
        <f>VLOOKUP(MasterTable[[#This Row],[Vote]],'MTEF 21-22'!A:B,2,FALSE)</f>
        <v>Ministry of Justice and Constitutional Affairs</v>
      </c>
      <c r="F62" t="str">
        <f>CONCATENATE(MasterTable[[#This Row],[Vote]]," ",MasterTable[[#This Row],[Vote Name]])</f>
        <v>007 Ministry of Justice and Constitutional Affairs</v>
      </c>
      <c r="G62" t="s">
        <v>25</v>
      </c>
      <c r="H62" s="16">
        <v>42376</v>
      </c>
      <c r="I62" s="46"/>
      <c r="J62" t="s">
        <v>20</v>
      </c>
      <c r="K62" t="s">
        <v>26</v>
      </c>
      <c r="L62" s="17">
        <v>27950000000</v>
      </c>
      <c r="M62" s="17">
        <v>27950000000</v>
      </c>
      <c r="N62" s="17">
        <v>0</v>
      </c>
      <c r="O62" s="17"/>
      <c r="P62" s="17">
        <v>27950000000</v>
      </c>
      <c r="Q62" s="17">
        <v>27950000000</v>
      </c>
      <c r="R62" s="17">
        <v>0</v>
      </c>
      <c r="S62" s="17">
        <v>0</v>
      </c>
      <c r="T62" s="17">
        <v>0</v>
      </c>
      <c r="U62" s="17"/>
      <c r="V62" s="17">
        <v>0</v>
      </c>
      <c r="W62" s="17">
        <v>83850000000</v>
      </c>
      <c r="X62" s="17"/>
    </row>
    <row r="63" spans="1:27" x14ac:dyDescent="0.25">
      <c r="A63" t="s">
        <v>343</v>
      </c>
      <c r="B63" t="s">
        <v>345</v>
      </c>
      <c r="C63" t="str">
        <f>VLOOKUP(MasterTable[[#This Row],[Project Code and Name ]],PAProjects[LINKING_CODE],1,FALSE)</f>
        <v>1242 Construction of the JLOS House</v>
      </c>
      <c r="D63" t="s">
        <v>957</v>
      </c>
      <c r="E63" t="str">
        <f>VLOOKUP(MasterTable[[#This Row],[Vote]],'MTEF 21-22'!A:B,2,FALSE)</f>
        <v>Ministry of Justice and Constitutional Affairs</v>
      </c>
      <c r="F63" t="str">
        <f>CONCATENATE(MasterTable[[#This Row],[Vote]]," ",MasterTable[[#This Row],[Vote Name]])</f>
        <v>007 Ministry of Justice and Constitutional Affairs</v>
      </c>
      <c r="G63" t="s">
        <v>19</v>
      </c>
      <c r="H63" s="16">
        <v>43837</v>
      </c>
      <c r="I63" s="46"/>
      <c r="J63" t="s">
        <v>40</v>
      </c>
      <c r="K63" t="s">
        <v>36</v>
      </c>
      <c r="L63" s="17">
        <v>4691000000</v>
      </c>
      <c r="M63" s="17">
        <v>25000000000</v>
      </c>
      <c r="N63" s="17">
        <v>0</v>
      </c>
      <c r="O63" s="17">
        <v>0</v>
      </c>
      <c r="P63" s="17">
        <v>64800000000</v>
      </c>
      <c r="Q63" s="17">
        <v>64800000000</v>
      </c>
      <c r="R63" s="17">
        <v>0</v>
      </c>
      <c r="S63" s="17">
        <v>0</v>
      </c>
      <c r="T63" s="17">
        <v>0</v>
      </c>
      <c r="U63" s="17"/>
      <c r="V63" s="17">
        <v>0</v>
      </c>
      <c r="W63" s="17">
        <v>94491000000</v>
      </c>
      <c r="X63" s="17"/>
    </row>
    <row r="64" spans="1:27" x14ac:dyDescent="0.25">
      <c r="A64" t="s">
        <v>343</v>
      </c>
      <c r="B64" t="s">
        <v>346</v>
      </c>
      <c r="C64" t="str">
        <f>VLOOKUP(MasterTable[[#This Row],[Project Code and Name ]],PAProjects[LINKING_CODE],1,FALSE)</f>
        <v>1647 Retooling of Ministry of Justice and Constitutional Affairs</v>
      </c>
      <c r="D64" t="s">
        <v>957</v>
      </c>
      <c r="E64" t="str">
        <f>VLOOKUP(MasterTable[[#This Row],[Vote]],'MTEF 21-22'!A:B,2,FALSE)</f>
        <v>Ministry of Justice and Constitutional Affairs</v>
      </c>
      <c r="F64" t="str">
        <f>CONCATENATE(MasterTable[[#This Row],[Vote]]," ",MasterTable[[#This Row],[Vote Name]])</f>
        <v>007 Ministry of Justice and Constitutional Affairs</v>
      </c>
      <c r="G64" t="s">
        <v>19</v>
      </c>
      <c r="H64" s="16">
        <v>43837</v>
      </c>
      <c r="I64" s="46"/>
      <c r="J64" t="s">
        <v>20</v>
      </c>
      <c r="K64" t="s">
        <v>21</v>
      </c>
      <c r="L64" s="17">
        <v>0</v>
      </c>
      <c r="M64" s="17">
        <v>400000000</v>
      </c>
      <c r="N64" s="17">
        <v>0</v>
      </c>
      <c r="O64" s="17">
        <v>0</v>
      </c>
      <c r="P64" s="17">
        <v>16976000000</v>
      </c>
      <c r="Q64" s="17">
        <v>16976000000</v>
      </c>
      <c r="R64" s="17">
        <v>9288000000</v>
      </c>
      <c r="S64" s="17">
        <v>9417000000</v>
      </c>
      <c r="T64" s="17">
        <v>7055000000</v>
      </c>
      <c r="U64" s="17"/>
      <c r="V64" s="17"/>
      <c r="W64" s="17">
        <v>43136000000</v>
      </c>
      <c r="X64" s="17"/>
    </row>
    <row r="65" spans="1:27" x14ac:dyDescent="0.25">
      <c r="A65" t="s">
        <v>347</v>
      </c>
      <c r="B65" t="s">
        <v>348</v>
      </c>
      <c r="C65" t="str">
        <f>VLOOKUP(MasterTable[[#This Row],[Project Code and Name ]],PAProjects[LINKING_CODE],1,FALSE)</f>
        <v>1514 Uganda Support to Municipal Infrastructure Development (USMID II)</v>
      </c>
      <c r="D65" t="s">
        <v>1106</v>
      </c>
      <c r="E65" t="str">
        <f>VLOOKUP(MasterTable[[#This Row],[Vote]],'MTEF 21-22'!A:B,2,FALSE)</f>
        <v>Ministry of Lands, Housing &amp; Urban Development</v>
      </c>
      <c r="F65" t="str">
        <f>CONCATENATE(MasterTable[[#This Row],[Vote]]," ",MasterTable[[#This Row],[Vote Name]])</f>
        <v>012 Ministry of Lands, Housing &amp; Urban Development</v>
      </c>
      <c r="G65" t="s">
        <v>25</v>
      </c>
      <c r="H65" s="16">
        <v>43556</v>
      </c>
      <c r="I65" s="46"/>
      <c r="J65" t="s">
        <v>20</v>
      </c>
      <c r="K65" t="s">
        <v>36</v>
      </c>
      <c r="L65" s="17">
        <v>39433507260</v>
      </c>
      <c r="M65" s="17">
        <v>43521160000</v>
      </c>
      <c r="N65" s="17"/>
      <c r="O65" s="17"/>
      <c r="P65" s="17">
        <v>61884000000</v>
      </c>
      <c r="Q65" s="17">
        <v>61884000000</v>
      </c>
      <c r="R65" s="17">
        <v>82010000000</v>
      </c>
      <c r="S65" s="17">
        <v>0</v>
      </c>
      <c r="T65" s="17">
        <v>0</v>
      </c>
      <c r="U65" s="17"/>
      <c r="V65" s="17"/>
      <c r="W65" s="17">
        <v>226848667260</v>
      </c>
      <c r="X65" s="17">
        <v>1345320000000</v>
      </c>
      <c r="Y65" t="s">
        <v>349</v>
      </c>
      <c r="AA65" t="s">
        <v>23</v>
      </c>
    </row>
    <row r="66" spans="1:27" x14ac:dyDescent="0.25">
      <c r="A66" t="s">
        <v>347</v>
      </c>
      <c r="B66" t="s">
        <v>350</v>
      </c>
      <c r="C66" t="str">
        <f>VLOOKUP(MasterTable[[#This Row],[Project Code and Name ]],PAProjects[LINKING_CODE],1,FALSE)</f>
        <v>1528 Hoima Oil Refinery Proximity Development Master Plan</v>
      </c>
      <c r="D66" t="s">
        <v>1106</v>
      </c>
      <c r="E66" t="str">
        <f>VLOOKUP(MasterTable[[#This Row],[Vote]],'MTEF 21-22'!A:B,2,FALSE)</f>
        <v>Ministry of Lands, Housing &amp; Urban Development</v>
      </c>
      <c r="F66" t="str">
        <f>CONCATENATE(MasterTable[[#This Row],[Vote]]," ",MasterTable[[#This Row],[Vote Name]])</f>
        <v>012 Ministry of Lands, Housing &amp; Urban Development</v>
      </c>
      <c r="G66" t="s">
        <v>19</v>
      </c>
      <c r="H66" s="16">
        <v>43282</v>
      </c>
      <c r="I66" s="46"/>
      <c r="J66" t="s">
        <v>20</v>
      </c>
      <c r="K66" t="s">
        <v>36</v>
      </c>
      <c r="L66" s="17">
        <v>50000000</v>
      </c>
      <c r="M66" s="17">
        <v>50000000</v>
      </c>
      <c r="N66" s="17"/>
      <c r="O66" s="17"/>
      <c r="P66" s="17">
        <v>2900000000</v>
      </c>
      <c r="Q66" s="17">
        <v>2900000000</v>
      </c>
      <c r="R66" s="17">
        <v>3480000000</v>
      </c>
      <c r="S66" s="17">
        <v>0</v>
      </c>
      <c r="T66" s="17">
        <v>0</v>
      </c>
      <c r="U66" s="17">
        <v>0</v>
      </c>
      <c r="V66" s="17"/>
      <c r="W66" s="17">
        <v>6480000000</v>
      </c>
      <c r="X66" s="17">
        <v>250000000</v>
      </c>
      <c r="Y66" t="s">
        <v>351</v>
      </c>
      <c r="AA66" t="s">
        <v>28</v>
      </c>
    </row>
    <row r="67" spans="1:27" x14ac:dyDescent="0.25">
      <c r="A67" t="s">
        <v>347</v>
      </c>
      <c r="B67" t="s">
        <v>352</v>
      </c>
      <c r="C67" t="str">
        <f>VLOOKUP(MasterTable[[#This Row],[Project Code and Name ]],PAProjects[LINKING_CODE],1,FALSE)</f>
        <v>1632 Retooling of Ministry of Lands, Housing and Urban Development</v>
      </c>
      <c r="D67" t="s">
        <v>1106</v>
      </c>
      <c r="E67" t="str">
        <f>VLOOKUP(MasterTable[[#This Row],[Vote]],'MTEF 21-22'!A:B,2,FALSE)</f>
        <v>Ministry of Lands, Housing &amp; Urban Development</v>
      </c>
      <c r="F67" t="str">
        <f>CONCATENATE(MasterTable[[#This Row],[Vote]]," ",MasterTable[[#This Row],[Vote Name]])</f>
        <v>012 Ministry of Lands, Housing &amp; Urban Development</v>
      </c>
      <c r="G67" t="s">
        <v>19</v>
      </c>
      <c r="H67" s="16">
        <v>44013</v>
      </c>
      <c r="I67" s="46"/>
      <c r="J67" t="s">
        <v>20</v>
      </c>
      <c r="K67" t="s">
        <v>21</v>
      </c>
      <c r="L67" s="17">
        <v>0</v>
      </c>
      <c r="M67" s="17">
        <v>2353200000</v>
      </c>
      <c r="N67" s="17"/>
      <c r="O67" s="17"/>
      <c r="P67" s="17">
        <v>2350000000</v>
      </c>
      <c r="Q67" s="17">
        <v>2350000000</v>
      </c>
      <c r="R67" s="17">
        <v>4000000000</v>
      </c>
      <c r="S67" s="17">
        <v>4000000000</v>
      </c>
      <c r="T67" s="17">
        <v>4000000000</v>
      </c>
      <c r="U67" s="17">
        <v>0</v>
      </c>
      <c r="V67" s="17"/>
      <c r="W67" s="17">
        <v>57871160000</v>
      </c>
      <c r="X67" s="17">
        <v>20000000000</v>
      </c>
    </row>
    <row r="68" spans="1:27" x14ac:dyDescent="0.25">
      <c r="A68" t="s">
        <v>347</v>
      </c>
      <c r="B68" t="s">
        <v>1296</v>
      </c>
      <c r="C68" t="str">
        <f>VLOOKUP(MasterTable[[#This Row],[Project Code and Name ]],PAProjects[LINKING_CODE],1,FALSE)</f>
        <v>1310 Albertine Region Sustainable Development Project -012</v>
      </c>
      <c r="D68" t="s">
        <v>1106</v>
      </c>
      <c r="E68" t="str">
        <f>VLOOKUP(MasterTable[[#This Row],[Vote]],'MTEF 21-22'!A:B,2,FALSE)</f>
        <v>Ministry of Lands, Housing &amp; Urban Development</v>
      </c>
      <c r="F68" t="str">
        <f>CONCATENATE(MasterTable[[#This Row],[Vote]]," ",MasterTable[[#This Row],[Vote Name]])</f>
        <v>012 Ministry of Lands, Housing &amp; Urban Development</v>
      </c>
      <c r="G68" t="s">
        <v>25</v>
      </c>
      <c r="H68" s="16">
        <v>42011</v>
      </c>
      <c r="I68" s="46"/>
      <c r="J68" t="s">
        <v>20</v>
      </c>
      <c r="K68" t="s">
        <v>36</v>
      </c>
      <c r="L68" s="17">
        <v>30550068678</v>
      </c>
      <c r="M68" s="17">
        <v>24820000000</v>
      </c>
      <c r="N68" s="17"/>
      <c r="O68" s="17"/>
      <c r="P68" s="17">
        <v>0</v>
      </c>
      <c r="Q68" s="17">
        <v>0</v>
      </c>
      <c r="R68" s="17">
        <v>0</v>
      </c>
      <c r="S68" s="17">
        <v>0</v>
      </c>
      <c r="T68" s="17">
        <v>0</v>
      </c>
      <c r="U68" s="17"/>
      <c r="V68" s="17"/>
      <c r="W68" s="17">
        <v>55370068678</v>
      </c>
      <c r="X68" s="17">
        <v>93425000000</v>
      </c>
      <c r="Y68" t="s">
        <v>354</v>
      </c>
    </row>
    <row r="69" spans="1:27" x14ac:dyDescent="0.25">
      <c r="A69" t="s">
        <v>347</v>
      </c>
      <c r="B69" s="18" t="s">
        <v>1479</v>
      </c>
      <c r="C69" s="18" t="str">
        <f>VLOOKUP(MasterTable[[#This Row],[Project Code and Name ]],PAProjects[LINKING_CODE],1,FALSE)</f>
        <v>1289 Competitiveness and Enterprise Development Project [CEDP] -012</v>
      </c>
      <c r="D69" s="18" t="s">
        <v>1106</v>
      </c>
      <c r="E69" s="18" t="str">
        <f>VLOOKUP(MasterTable[[#This Row],[Vote]],'MTEF 21-22'!A:B,2,FALSE)</f>
        <v>Ministry of Lands, Housing &amp; Urban Development</v>
      </c>
      <c r="F69" s="18" t="str">
        <f>CONCATENATE(MasterTable[[#This Row],[Vote]]," ",MasterTable[[#This Row],[Vote Name]])</f>
        <v>012 Ministry of Lands, Housing &amp; Urban Development</v>
      </c>
      <c r="G69" t="s">
        <v>25</v>
      </c>
      <c r="H69" s="16">
        <v>41821</v>
      </c>
      <c r="I69" s="46"/>
      <c r="J69" t="s">
        <v>20</v>
      </c>
      <c r="K69" t="s">
        <v>36</v>
      </c>
      <c r="L69" s="17">
        <v>173892176479</v>
      </c>
      <c r="M69" s="17">
        <v>32670000000</v>
      </c>
      <c r="N69" s="17"/>
      <c r="O69" s="17"/>
      <c r="P69" s="17">
        <v>55040000000</v>
      </c>
      <c r="Q69" s="17">
        <v>55040000000</v>
      </c>
      <c r="R69" s="17">
        <v>0</v>
      </c>
      <c r="S69" s="17">
        <v>0</v>
      </c>
      <c r="T69" s="17">
        <v>0</v>
      </c>
      <c r="U69" s="17"/>
      <c r="V69" s="17"/>
      <c r="W69" s="17">
        <v>261602176479</v>
      </c>
      <c r="X69" s="17">
        <v>402474900000</v>
      </c>
      <c r="Y69" t="s">
        <v>356</v>
      </c>
    </row>
    <row r="70" spans="1:27" x14ac:dyDescent="0.25">
      <c r="A70" t="s">
        <v>347</v>
      </c>
      <c r="B70" s="18" t="s">
        <v>1479</v>
      </c>
      <c r="C70" s="18" t="str">
        <f>VLOOKUP(MasterTable[[#This Row],[Project Code and Name ]],PAProjects[LINKING_CODE],1,FALSE)</f>
        <v>1289 Competitiveness and Enterprise Development Project [CEDP] -012</v>
      </c>
      <c r="D70" s="18" t="s">
        <v>1106</v>
      </c>
      <c r="E70" s="18" t="str">
        <f>VLOOKUP(MasterTable[[#This Row],[Vote]],'MTEF 21-22'!A:B,2,FALSE)</f>
        <v>Ministry of Lands, Housing &amp; Urban Development</v>
      </c>
      <c r="F70" s="18" t="str">
        <f>CONCATENATE(MasterTable[[#This Row],[Vote]]," ",MasterTable[[#This Row],[Vote Name]])</f>
        <v>012 Ministry of Lands, Housing &amp; Urban Development</v>
      </c>
      <c r="G70" t="s">
        <v>19</v>
      </c>
      <c r="H70" s="16">
        <v>41821</v>
      </c>
      <c r="I70" s="16">
        <v>44712</v>
      </c>
      <c r="J70" t="s">
        <v>20</v>
      </c>
      <c r="K70" t="s">
        <v>36</v>
      </c>
      <c r="L70" s="17">
        <v>14370000000</v>
      </c>
      <c r="M70" s="17">
        <v>3670000000</v>
      </c>
      <c r="N70" s="17"/>
      <c r="O70" s="17"/>
      <c r="P70" s="17">
        <v>3670000000</v>
      </c>
      <c r="Q70" s="17">
        <v>3670000000</v>
      </c>
      <c r="R70" s="17">
        <v>0</v>
      </c>
      <c r="S70" s="17">
        <v>0</v>
      </c>
      <c r="T70" s="17">
        <v>0</v>
      </c>
      <c r="U70" s="17"/>
      <c r="V70" s="17"/>
      <c r="W70" s="17">
        <v>21710000000</v>
      </c>
      <c r="X70" s="17">
        <v>32720000000</v>
      </c>
      <c r="Y70" t="s">
        <v>357</v>
      </c>
    </row>
    <row r="71" spans="1:27" x14ac:dyDescent="0.25">
      <c r="A71" t="s">
        <v>347</v>
      </c>
      <c r="B71" t="s">
        <v>350</v>
      </c>
      <c r="C71" t="str">
        <f>VLOOKUP(MasterTable[[#This Row],[Project Code and Name ]],PAProjects[LINKING_CODE],1,FALSE)</f>
        <v>1528 Hoima Oil Refinery Proximity Development Master Plan</v>
      </c>
      <c r="D71" t="s">
        <v>1106</v>
      </c>
      <c r="E71" t="str">
        <f>VLOOKUP(MasterTable[[#This Row],[Vote]],'MTEF 21-22'!A:B,2,FALSE)</f>
        <v>Ministry of Lands, Housing &amp; Urban Development</v>
      </c>
      <c r="F71" t="str">
        <f>CONCATENATE(MasterTable[[#This Row],[Vote]]," ",MasterTable[[#This Row],[Vote Name]])</f>
        <v>012 Ministry of Lands, Housing &amp; Urban Development</v>
      </c>
      <c r="G71" t="s">
        <v>25</v>
      </c>
      <c r="H71" s="16">
        <v>43282</v>
      </c>
      <c r="I71" s="46"/>
      <c r="J71" t="s">
        <v>20</v>
      </c>
      <c r="K71" t="s">
        <v>36</v>
      </c>
      <c r="L71" s="17"/>
      <c r="M71" s="17"/>
      <c r="N71" s="17"/>
      <c r="O71" s="17"/>
      <c r="P71" s="17"/>
      <c r="Q71" s="17">
        <v>0</v>
      </c>
      <c r="R71" s="17">
        <v>0</v>
      </c>
      <c r="S71" s="17">
        <v>0</v>
      </c>
      <c r="T71" s="17">
        <v>0</v>
      </c>
      <c r="U71" s="17"/>
      <c r="V71" s="17"/>
      <c r="W71" s="17">
        <v>0</v>
      </c>
      <c r="X71" s="17"/>
      <c r="Y71" t="s">
        <v>358</v>
      </c>
    </row>
    <row r="72" spans="1:27" x14ac:dyDescent="0.25">
      <c r="A72" t="s">
        <v>359</v>
      </c>
      <c r="B72" t="s">
        <v>360</v>
      </c>
      <c r="C72" t="str">
        <f>VLOOKUP(MasterTable[[#This Row],[Project Code and Name ]],PAProjects[LINKING_CODE],1,FALSE)</f>
        <v>1511 Kiira Motors Corporation</v>
      </c>
      <c r="D72" t="s">
        <v>72</v>
      </c>
      <c r="E72" t="str">
        <f>VLOOKUP(MasterTable[[#This Row],[Vote]],'MTEF 21-22'!A:B,2,FALSE)</f>
        <v>Ministry of Science, Technology and Innovation</v>
      </c>
      <c r="F72" t="str">
        <f>CONCATENATE(MasterTable[[#This Row],[Vote]]," ",MasterTable[[#This Row],[Vote Name]])</f>
        <v>023 Ministry of Science, Technology and Innovation</v>
      </c>
      <c r="G72" t="s">
        <v>19</v>
      </c>
      <c r="H72" s="16">
        <v>43282</v>
      </c>
      <c r="I72" s="16">
        <v>44742</v>
      </c>
      <c r="J72" t="s">
        <v>20</v>
      </c>
      <c r="K72" t="s">
        <v>36</v>
      </c>
      <c r="L72" s="17">
        <v>41586431087</v>
      </c>
      <c r="M72" s="17">
        <v>42125000000</v>
      </c>
      <c r="N72" s="17">
        <v>44500000000</v>
      </c>
      <c r="O72" s="17">
        <v>0</v>
      </c>
      <c r="P72" s="17">
        <v>218200000000</v>
      </c>
      <c r="Q72" s="17">
        <v>262700000000</v>
      </c>
      <c r="R72" s="17"/>
      <c r="S72" s="17"/>
      <c r="T72" s="17"/>
      <c r="U72" s="17"/>
      <c r="V72" s="17"/>
      <c r="W72" s="17">
        <v>346411431087</v>
      </c>
      <c r="X72" s="17">
        <v>143741414059</v>
      </c>
      <c r="Y72" t="s">
        <v>361</v>
      </c>
      <c r="AA72" t="s">
        <v>23</v>
      </c>
    </row>
    <row r="73" spans="1:27" x14ac:dyDescent="0.25">
      <c r="A73" t="s">
        <v>359</v>
      </c>
      <c r="B73" t="s">
        <v>362</v>
      </c>
      <c r="C73" t="str">
        <f>VLOOKUP(MasterTable[[#This Row],[Project Code and Name ]],PAProjects[LINKING_CODE],1,FALSE)</f>
        <v>1597 Retooling of Ministry of Science, Technology and Innovation</v>
      </c>
      <c r="D73" t="s">
        <v>72</v>
      </c>
      <c r="E73" t="str">
        <f>VLOOKUP(MasterTable[[#This Row],[Vote]],'MTEF 21-22'!A:B,2,FALSE)</f>
        <v>Ministry of Science, Technology and Innovation</v>
      </c>
      <c r="F73" t="str">
        <f>CONCATENATE(MasterTable[[#This Row],[Vote]]," ",MasterTable[[#This Row],[Vote Name]])</f>
        <v>023 Ministry of Science, Technology and Innovation</v>
      </c>
      <c r="G73" t="s">
        <v>19</v>
      </c>
      <c r="H73" s="46"/>
      <c r="I73" s="46"/>
      <c r="J73" t="s">
        <v>20</v>
      </c>
      <c r="K73" t="s">
        <v>21</v>
      </c>
      <c r="L73" s="17">
        <v>0</v>
      </c>
      <c r="M73" s="17">
        <v>0</v>
      </c>
      <c r="N73" s="17">
        <v>0</v>
      </c>
      <c r="O73" s="17">
        <v>0</v>
      </c>
      <c r="P73" s="17">
        <v>22290000000</v>
      </c>
      <c r="Q73" s="17">
        <v>22290000000</v>
      </c>
      <c r="R73" s="17">
        <v>9802000000</v>
      </c>
      <c r="S73" s="17">
        <v>7680000000</v>
      </c>
      <c r="T73" s="17">
        <v>7055000000</v>
      </c>
      <c r="U73" s="17">
        <v>5993000000</v>
      </c>
      <c r="V73" s="17"/>
      <c r="W73" s="17">
        <v>52820000000</v>
      </c>
      <c r="X73" s="17">
        <v>52820000000</v>
      </c>
      <c r="Y73" t="s">
        <v>363</v>
      </c>
      <c r="AA73" t="s">
        <v>28</v>
      </c>
    </row>
    <row r="74" spans="1:27" x14ac:dyDescent="0.25">
      <c r="A74" t="s">
        <v>359</v>
      </c>
      <c r="B74" t="s">
        <v>362</v>
      </c>
      <c r="C74" t="str">
        <f>VLOOKUP(MasterTable[[#This Row],[Project Code and Name ]],PAProjects[LINKING_CODE],1,FALSE)</f>
        <v>1597 Retooling of Ministry of Science, Technology and Innovation</v>
      </c>
      <c r="D74" t="s">
        <v>72</v>
      </c>
      <c r="E74" t="str">
        <f>VLOOKUP(MasterTable[[#This Row],[Vote]],'MTEF 21-22'!A:B,2,FALSE)</f>
        <v>Ministry of Science, Technology and Innovation</v>
      </c>
      <c r="F74" t="str">
        <f>CONCATENATE(MasterTable[[#This Row],[Vote]]," ",MasterTable[[#This Row],[Vote Name]])</f>
        <v>023 Ministry of Science, Technology and Innovation</v>
      </c>
      <c r="G74" t="s">
        <v>19</v>
      </c>
      <c r="H74" s="46"/>
      <c r="I74" s="46"/>
      <c r="J74" t="s">
        <v>20</v>
      </c>
      <c r="K74" t="s">
        <v>26</v>
      </c>
      <c r="L74" s="17">
        <v>7691278760</v>
      </c>
      <c r="M74" s="17">
        <v>10000000000</v>
      </c>
      <c r="N74" s="17">
        <v>0</v>
      </c>
      <c r="O74" s="17">
        <v>0</v>
      </c>
      <c r="P74" s="17">
        <v>185421000000</v>
      </c>
      <c r="Q74" s="17">
        <v>185421000000</v>
      </c>
      <c r="R74" s="17">
        <v>179063100000</v>
      </c>
      <c r="S74" s="17">
        <v>262818410000</v>
      </c>
      <c r="T74" s="17"/>
      <c r="U74" s="17"/>
      <c r="V74" s="17">
        <v>0</v>
      </c>
      <c r="W74" s="17">
        <v>644993788760</v>
      </c>
      <c r="X74" s="17">
        <v>755987510000</v>
      </c>
      <c r="Y74" t="s">
        <v>364</v>
      </c>
    </row>
    <row r="75" spans="1:27" x14ac:dyDescent="0.25">
      <c r="A75" t="s">
        <v>359</v>
      </c>
      <c r="B75" t="s">
        <v>365</v>
      </c>
      <c r="C75" t="str">
        <f>VLOOKUP(MasterTable[[#This Row],[Project Code and Name ]],PAProjects[LINKING_CODE],1,FALSE)</f>
        <v>1513 National Science, Technology, Engineering and Innovation Skills Enhancement Project</v>
      </c>
      <c r="D75" t="s">
        <v>72</v>
      </c>
      <c r="E75" t="str">
        <f>VLOOKUP(MasterTable[[#This Row],[Vote]],'MTEF 21-22'!A:B,2,FALSE)</f>
        <v>Ministry of Science, Technology and Innovation</v>
      </c>
      <c r="F75" t="str">
        <f>CONCATENATE(MasterTable[[#This Row],[Vote]]," ",MasterTable[[#This Row],[Vote Name]])</f>
        <v>023 Ministry of Science, Technology and Innovation</v>
      </c>
      <c r="G75" t="s">
        <v>19</v>
      </c>
      <c r="H75" s="16">
        <v>43647</v>
      </c>
      <c r="I75" s="16">
        <v>45473</v>
      </c>
      <c r="J75" t="s">
        <v>20</v>
      </c>
      <c r="K75" t="s">
        <v>36</v>
      </c>
      <c r="L75" s="17">
        <v>10430000000</v>
      </c>
      <c r="M75" s="17">
        <v>12400000000</v>
      </c>
      <c r="N75" s="17">
        <v>0</v>
      </c>
      <c r="O75" s="17">
        <v>0</v>
      </c>
      <c r="P75" s="17">
        <v>49480000000</v>
      </c>
      <c r="Q75" s="17">
        <v>49480000000</v>
      </c>
      <c r="R75" s="17">
        <v>24472000000</v>
      </c>
      <c r="S75" s="17">
        <v>17218000000</v>
      </c>
      <c r="T75" s="17"/>
      <c r="U75" s="17"/>
      <c r="V75" s="17"/>
      <c r="W75" s="17">
        <v>114000000000</v>
      </c>
      <c r="X75" s="17">
        <v>114000000000</v>
      </c>
    </row>
    <row r="76" spans="1:27" x14ac:dyDescent="0.25">
      <c r="A76" t="s">
        <v>359</v>
      </c>
      <c r="B76" t="s">
        <v>365</v>
      </c>
      <c r="C76" t="str">
        <f>VLOOKUP(MasterTable[[#This Row],[Project Code and Name ]],PAProjects[LINKING_CODE],1,FALSE)</f>
        <v>1513 National Science, Technology, Engineering and Innovation Skills Enhancement Project</v>
      </c>
      <c r="D76" t="s">
        <v>72</v>
      </c>
      <c r="E76" t="str">
        <f>VLOOKUP(MasterTable[[#This Row],[Vote]],'MTEF 21-22'!A:B,2,FALSE)</f>
        <v>Ministry of Science, Technology and Innovation</v>
      </c>
      <c r="F76" t="str">
        <f>CONCATENATE(MasterTable[[#This Row],[Vote]]," ",MasterTable[[#This Row],[Vote Name]])</f>
        <v>023 Ministry of Science, Technology and Innovation</v>
      </c>
      <c r="G76" t="s">
        <v>25</v>
      </c>
      <c r="H76" s="16">
        <v>43647</v>
      </c>
      <c r="I76" s="16">
        <v>45474</v>
      </c>
      <c r="J76" t="s">
        <v>20</v>
      </c>
      <c r="K76" t="s">
        <v>36</v>
      </c>
      <c r="L76" s="17">
        <v>36160000000</v>
      </c>
      <c r="M76" s="17">
        <v>133356885000</v>
      </c>
      <c r="N76" s="17">
        <v>0</v>
      </c>
      <c r="O76" s="17">
        <v>0</v>
      </c>
      <c r="P76" s="17">
        <v>137568815468</v>
      </c>
      <c r="Q76" s="17">
        <v>137568815468</v>
      </c>
      <c r="R76" s="17">
        <v>11319098000</v>
      </c>
      <c r="S76" s="17">
        <v>2177875000</v>
      </c>
      <c r="T76" s="17">
        <v>0</v>
      </c>
      <c r="U76" s="17"/>
      <c r="V76" s="17"/>
      <c r="W76" s="17">
        <v>320582673468</v>
      </c>
      <c r="X76" s="17">
        <v>321980000000</v>
      </c>
    </row>
    <row r="77" spans="1:27" x14ac:dyDescent="0.25">
      <c r="A77" t="s">
        <v>366</v>
      </c>
      <c r="B77" t="s">
        <v>367</v>
      </c>
      <c r="C77" t="str">
        <f>VLOOKUP(MasterTable[[#This Row],[Project Code and Name ]],PAProjects[LINKING_CODE],1,FALSE)</f>
        <v xml:space="preserve">1609 Retooling of Ministry of Tourism, Wildlife and Antiquitties </v>
      </c>
      <c r="D77" t="s">
        <v>71</v>
      </c>
      <c r="E77" t="str">
        <f>VLOOKUP(MasterTable[[#This Row],[Vote]],'MTEF 21-22'!A:B,2,FALSE)</f>
        <v>Ministry of Tourism, Wildlife and Antiquities</v>
      </c>
      <c r="F77" t="str">
        <f>CONCATENATE(MasterTable[[#This Row],[Vote]]," ",MasterTable[[#This Row],[Vote Name]])</f>
        <v>022 Ministry of Tourism, Wildlife and Antiquities</v>
      </c>
      <c r="G77" t="s">
        <v>19</v>
      </c>
      <c r="H77" s="16">
        <v>44013</v>
      </c>
      <c r="I77" s="16">
        <v>45838</v>
      </c>
      <c r="J77" t="s">
        <v>20</v>
      </c>
      <c r="K77" t="s">
        <v>21</v>
      </c>
      <c r="L77" s="17">
        <v>0</v>
      </c>
      <c r="M77" s="17">
        <v>1117969000</v>
      </c>
      <c r="N77" s="17">
        <v>500000000</v>
      </c>
      <c r="O77" s="17"/>
      <c r="P77" s="17">
        <v>8132031000</v>
      </c>
      <c r="Q77" s="17">
        <v>8632031000</v>
      </c>
      <c r="R77" s="17">
        <v>5240000000</v>
      </c>
      <c r="S77" s="17">
        <v>4360000000</v>
      </c>
      <c r="T77" s="17">
        <v>3900000000</v>
      </c>
      <c r="U77" s="17"/>
      <c r="V77" s="17"/>
      <c r="W77" s="17">
        <v>23250000000</v>
      </c>
      <c r="X77" s="17">
        <v>23250000000</v>
      </c>
    </row>
    <row r="78" spans="1:27" x14ac:dyDescent="0.25">
      <c r="A78" t="s">
        <v>366</v>
      </c>
      <c r="B78" t="s">
        <v>1495</v>
      </c>
      <c r="C78" t="str">
        <f>VLOOKUP(MasterTable[[#This Row],[Project Code and Name ]],PAProjects[LINKING_CODE],1,FALSE)</f>
        <v>1699 Development of Museums and Heritage Sites for Cultural Tourism (Phase II) -022</v>
      </c>
      <c r="D78" t="s">
        <v>71</v>
      </c>
      <c r="E78" t="str">
        <f>VLOOKUP(MasterTable[[#This Row],[Vote]],'MTEF 21-22'!A:B,2,FALSE)</f>
        <v>Ministry of Tourism, Wildlife and Antiquities</v>
      </c>
      <c r="F78" t="str">
        <f>CONCATENATE(MasterTable[[#This Row],[Vote]]," ",MasterTable[[#This Row],[Vote Name]])</f>
        <v>022 Ministry of Tourism, Wildlife and Antiquities</v>
      </c>
      <c r="G78" t="s">
        <v>19</v>
      </c>
      <c r="H78" s="16">
        <v>44378</v>
      </c>
      <c r="I78" s="16">
        <v>46203</v>
      </c>
      <c r="J78" t="s">
        <v>40</v>
      </c>
      <c r="K78" t="s">
        <v>36</v>
      </c>
      <c r="L78" s="17">
        <v>0</v>
      </c>
      <c r="M78" s="17">
        <v>0</v>
      </c>
      <c r="N78" s="17">
        <v>0</v>
      </c>
      <c r="O78" s="17"/>
      <c r="P78" s="17">
        <v>8900000000</v>
      </c>
      <c r="Q78" s="17">
        <v>8900000000</v>
      </c>
      <c r="R78" s="17">
        <v>11950000000</v>
      </c>
      <c r="S78" s="17">
        <v>8650000000</v>
      </c>
      <c r="T78" s="17">
        <v>10440000000</v>
      </c>
      <c r="U78" s="17">
        <v>4380000000</v>
      </c>
      <c r="V78" s="17"/>
      <c r="W78" s="17">
        <v>44320000000</v>
      </c>
      <c r="X78" s="17">
        <v>44320000000</v>
      </c>
    </row>
    <row r="79" spans="1:27" x14ac:dyDescent="0.25">
      <c r="A79" t="s">
        <v>366</v>
      </c>
      <c r="B79" t="s">
        <v>369</v>
      </c>
      <c r="C79" t="str">
        <f>VLOOKUP(MasterTable[[#This Row],[Project Code and Name ]],PAProjects[LINKING_CODE],1,FALSE)</f>
        <v>1700 Mt. Rwenzori Tourism Infrastructure Development Project Phase II</v>
      </c>
      <c r="D79" t="s">
        <v>71</v>
      </c>
      <c r="E79" t="str">
        <f>VLOOKUP(MasterTable[[#This Row],[Vote]],'MTEF 21-22'!A:B,2,FALSE)</f>
        <v>Ministry of Tourism, Wildlife and Antiquities</v>
      </c>
      <c r="F79" t="str">
        <f>CONCATENATE(MasterTable[[#This Row],[Vote]]," ",MasterTable[[#This Row],[Vote Name]])</f>
        <v>022 Ministry of Tourism, Wildlife and Antiquities</v>
      </c>
      <c r="G79" t="s">
        <v>19</v>
      </c>
      <c r="H79" s="16">
        <v>44378</v>
      </c>
      <c r="I79" s="16">
        <v>46203</v>
      </c>
      <c r="J79" t="s">
        <v>40</v>
      </c>
      <c r="K79" t="s">
        <v>36</v>
      </c>
      <c r="L79" s="17">
        <v>0</v>
      </c>
      <c r="M79" s="17">
        <v>0</v>
      </c>
      <c r="N79" s="17">
        <v>0</v>
      </c>
      <c r="O79" s="17"/>
      <c r="P79" s="17">
        <v>10930000000</v>
      </c>
      <c r="Q79" s="17">
        <v>10930000000</v>
      </c>
      <c r="R79" s="17">
        <v>14600000000</v>
      </c>
      <c r="S79" s="17">
        <v>15290000000</v>
      </c>
      <c r="T79" s="17">
        <v>17390000000</v>
      </c>
      <c r="U79" s="17">
        <v>11480000000</v>
      </c>
      <c r="V79" s="17"/>
      <c r="W79" s="17">
        <v>69690000000</v>
      </c>
      <c r="X79" s="17">
        <v>69690000000</v>
      </c>
    </row>
    <row r="80" spans="1:27" x14ac:dyDescent="0.25">
      <c r="A80" t="s">
        <v>366</v>
      </c>
      <c r="B80" t="s">
        <v>370</v>
      </c>
      <c r="C80" t="str">
        <f>VLOOKUP(MasterTable[[#This Row],[Project Code and Name ]],PAProjects[LINKING_CODE],1,FALSE)</f>
        <v>1701 Development of Source of the Nile Project (Phase II)</v>
      </c>
      <c r="D80" t="s">
        <v>71</v>
      </c>
      <c r="E80" t="str">
        <f>VLOOKUP(MasterTable[[#This Row],[Vote]],'MTEF 21-22'!A:B,2,FALSE)</f>
        <v>Ministry of Tourism, Wildlife and Antiquities</v>
      </c>
      <c r="F80" t="str">
        <f>CONCATENATE(MasterTable[[#This Row],[Vote]]," ",MasterTable[[#This Row],[Vote Name]])</f>
        <v>022 Ministry of Tourism, Wildlife and Antiquities</v>
      </c>
      <c r="G80" t="s">
        <v>19</v>
      </c>
      <c r="H80" s="16">
        <v>44378</v>
      </c>
      <c r="I80" s="16">
        <v>46203</v>
      </c>
      <c r="J80" t="s">
        <v>40</v>
      </c>
      <c r="K80" t="s">
        <v>36</v>
      </c>
      <c r="L80" s="17">
        <v>0</v>
      </c>
      <c r="M80" s="17">
        <v>0</v>
      </c>
      <c r="N80" s="17">
        <v>0</v>
      </c>
      <c r="O80" s="17"/>
      <c r="P80" s="17">
        <v>25750000000</v>
      </c>
      <c r="Q80" s="17">
        <v>25750000000</v>
      </c>
      <c r="R80" s="17">
        <v>17000000000</v>
      </c>
      <c r="S80" s="17">
        <v>25300000000</v>
      </c>
      <c r="T80" s="17">
        <v>16200000000</v>
      </c>
      <c r="U80" s="17">
        <v>6300000000</v>
      </c>
      <c r="V80" s="17"/>
      <c r="W80" s="17">
        <v>90550000000</v>
      </c>
      <c r="X80" s="17">
        <v>90550000000</v>
      </c>
    </row>
    <row r="81" spans="1:27" x14ac:dyDescent="0.25">
      <c r="A81" t="s">
        <v>371</v>
      </c>
      <c r="B81" t="s">
        <v>372</v>
      </c>
      <c r="C81" t="str">
        <f>VLOOKUP(MasterTable[[#This Row],[Project Code and Name ]],PAProjects[LINKING_CODE],1,FALSE)</f>
        <v>0368 Development</v>
      </c>
      <c r="D81" t="s">
        <v>137</v>
      </c>
      <c r="E81" t="str">
        <f>VLOOKUP(MasterTable[[#This Row],[Vote]],'MTEF 21-22'!A:B,2,FALSE)</f>
        <v>Mbarara University</v>
      </c>
      <c r="F81" t="str">
        <f>CONCATENATE(MasterTable[[#This Row],[Vote]]," ",MasterTable[[#This Row],[Vote Name]])</f>
        <v>137 Mbarara University</v>
      </c>
      <c r="G81" t="s">
        <v>19</v>
      </c>
      <c r="H81" s="16">
        <v>42186</v>
      </c>
      <c r="I81" s="16">
        <v>44742</v>
      </c>
      <c r="J81" t="s">
        <v>20</v>
      </c>
      <c r="K81" t="s">
        <v>36</v>
      </c>
      <c r="L81" s="17">
        <v>14961223000</v>
      </c>
      <c r="M81" s="17">
        <v>3026000000</v>
      </c>
      <c r="N81" s="17">
        <v>5288675782</v>
      </c>
      <c r="O81" s="17">
        <v>0</v>
      </c>
      <c r="P81" s="17">
        <v>6214675782</v>
      </c>
      <c r="Q81" s="17">
        <v>11503351564</v>
      </c>
      <c r="R81" s="17">
        <v>0</v>
      </c>
      <c r="S81" s="17">
        <v>0</v>
      </c>
      <c r="T81" s="17">
        <v>0</v>
      </c>
      <c r="U81" s="17">
        <v>0</v>
      </c>
      <c r="V81" s="17">
        <v>0</v>
      </c>
      <c r="W81" s="17">
        <v>29490574564</v>
      </c>
      <c r="X81" s="17"/>
      <c r="Y81" t="s">
        <v>373</v>
      </c>
      <c r="AA81" t="s">
        <v>23</v>
      </c>
    </row>
    <row r="82" spans="1:27" x14ac:dyDescent="0.25">
      <c r="A82" t="s">
        <v>371</v>
      </c>
      <c r="B82" t="s">
        <v>374</v>
      </c>
      <c r="C82" t="str">
        <f>VLOOKUP(MasterTable[[#This Row],[Project Code and Name ]],PAProjects[LINKING_CODE],1,FALSE)</f>
        <v>1650 Retooling of Mbarara University of Science and Technology</v>
      </c>
      <c r="D82" t="s">
        <v>137</v>
      </c>
      <c r="E82" t="str">
        <f>VLOOKUP(MasterTable[[#This Row],[Vote]],'MTEF 21-22'!A:B,2,FALSE)</f>
        <v>Mbarara University</v>
      </c>
      <c r="F82" t="str">
        <f>CONCATENATE(MasterTable[[#This Row],[Vote]]," ",MasterTable[[#This Row],[Vote Name]])</f>
        <v>137 Mbarara University</v>
      </c>
      <c r="G82" t="s">
        <v>19</v>
      </c>
      <c r="H82" s="16">
        <v>44013</v>
      </c>
      <c r="I82" s="16">
        <v>45838</v>
      </c>
      <c r="J82" t="s">
        <v>20</v>
      </c>
      <c r="K82" t="s">
        <v>21</v>
      </c>
      <c r="L82" s="17">
        <v>0</v>
      </c>
      <c r="M82" s="17">
        <v>659769000</v>
      </c>
      <c r="N82" s="17">
        <v>0</v>
      </c>
      <c r="O82" s="17">
        <v>0</v>
      </c>
      <c r="P82" s="17">
        <v>1878540000</v>
      </c>
      <c r="Q82" s="17">
        <v>1878540000</v>
      </c>
      <c r="R82" s="17">
        <v>1631121000</v>
      </c>
      <c r="S82" s="17">
        <v>1658770000</v>
      </c>
      <c r="T82" s="17">
        <v>1666800000</v>
      </c>
      <c r="U82" s="17">
        <v>0</v>
      </c>
      <c r="V82" s="17">
        <v>0</v>
      </c>
      <c r="W82" s="17">
        <v>7495000000</v>
      </c>
      <c r="X82" s="17"/>
      <c r="Y82" t="s">
        <v>375</v>
      </c>
      <c r="AA82" t="s">
        <v>28</v>
      </c>
    </row>
    <row r="83" spans="1:27" x14ac:dyDescent="0.25">
      <c r="A83" t="s">
        <v>376</v>
      </c>
      <c r="B83" t="s">
        <v>377</v>
      </c>
      <c r="C83" t="str">
        <f>VLOOKUP(MasterTable[[#This Row],[Project Code and Name ]],PAProjects[LINKING_CODE],1,FALSE)</f>
        <v>1495 Rural Industrial Development Project (OVOP Project Phase III)</v>
      </c>
      <c r="D83" t="s">
        <v>98</v>
      </c>
      <c r="E83" t="str">
        <f>VLOOKUP(MasterTable[[#This Row],[Vote]],'MTEF 21-22'!A:B,2,FALSE)</f>
        <v>Ministry of Trade, Industry and Cooperatives</v>
      </c>
      <c r="F83" t="str">
        <f>CONCATENATE(MasterTable[[#This Row],[Vote]]," ",MasterTable[[#This Row],[Vote Name]])</f>
        <v>015 Ministry of Trade, Industry and Cooperatives</v>
      </c>
      <c r="G83" t="s">
        <v>19</v>
      </c>
      <c r="H83" s="16">
        <v>42917</v>
      </c>
      <c r="I83" s="16">
        <v>44742</v>
      </c>
      <c r="J83" t="s">
        <v>20</v>
      </c>
      <c r="K83" t="s">
        <v>26</v>
      </c>
      <c r="L83" s="17">
        <v>1471357151</v>
      </c>
      <c r="M83" s="17">
        <v>1207763000</v>
      </c>
      <c r="N83" s="17">
        <v>450000000</v>
      </c>
      <c r="O83" s="17">
        <v>0</v>
      </c>
      <c r="P83" s="17">
        <v>31464360000</v>
      </c>
      <c r="Q83" s="17">
        <v>31914360000</v>
      </c>
      <c r="R83" s="17">
        <v>0</v>
      </c>
      <c r="S83" s="17">
        <v>0</v>
      </c>
      <c r="T83" s="17">
        <v>0</v>
      </c>
      <c r="U83" s="17">
        <v>0</v>
      </c>
      <c r="V83" s="17">
        <v>0</v>
      </c>
      <c r="W83" s="17">
        <v>34593480151</v>
      </c>
      <c r="X83" s="17"/>
      <c r="Y83" t="s">
        <v>378</v>
      </c>
      <c r="AA83" t="s">
        <v>23</v>
      </c>
    </row>
    <row r="84" spans="1:27" x14ac:dyDescent="0.25">
      <c r="A84" t="s">
        <v>376</v>
      </c>
      <c r="B84" t="s">
        <v>379</v>
      </c>
      <c r="C84" t="str">
        <f>VLOOKUP(MasterTable[[#This Row],[Project Code and Name ]],PAProjects[LINKING_CODE],1,FALSE)</f>
        <v>1689 Retooling of Ministry of Trade and Industry</v>
      </c>
      <c r="D84" t="s">
        <v>98</v>
      </c>
      <c r="E84" t="str">
        <f>VLOOKUP(MasterTable[[#This Row],[Vote]],'MTEF 21-22'!A:B,2,FALSE)</f>
        <v>Ministry of Trade, Industry and Cooperatives</v>
      </c>
      <c r="F84" t="str">
        <f>CONCATENATE(MasterTable[[#This Row],[Vote]]," ",MasterTable[[#This Row],[Vote Name]])</f>
        <v>015 Ministry of Trade, Industry and Cooperatives</v>
      </c>
      <c r="G84" t="s">
        <v>19</v>
      </c>
      <c r="H84" s="16">
        <v>44013</v>
      </c>
      <c r="I84" s="16">
        <v>45838</v>
      </c>
      <c r="J84" t="s">
        <v>20</v>
      </c>
      <c r="K84" t="s">
        <v>21</v>
      </c>
      <c r="L84" s="17">
        <v>0</v>
      </c>
      <c r="M84" s="17">
        <v>426000000</v>
      </c>
      <c r="N84" s="17">
        <v>0</v>
      </c>
      <c r="O84" s="17">
        <v>0</v>
      </c>
      <c r="P84" s="17">
        <v>2727500000</v>
      </c>
      <c r="Q84" s="17">
        <v>2727500000</v>
      </c>
      <c r="R84" s="17">
        <v>3560000000</v>
      </c>
      <c r="S84" s="17">
        <v>3027500000</v>
      </c>
      <c r="T84" s="17">
        <v>1923000000</v>
      </c>
      <c r="U84" s="17">
        <v>0</v>
      </c>
      <c r="V84" s="17">
        <v>0</v>
      </c>
      <c r="W84" s="17">
        <v>11664000000</v>
      </c>
      <c r="X84" s="17"/>
      <c r="Y84" t="s">
        <v>380</v>
      </c>
      <c r="AA84" t="s">
        <v>28</v>
      </c>
    </row>
    <row r="85" spans="1:27" x14ac:dyDescent="0.25">
      <c r="A85" t="s">
        <v>381</v>
      </c>
      <c r="B85" t="s">
        <v>382</v>
      </c>
      <c r="C85" t="str">
        <f>VLOOKUP(MasterTable[[#This Row],[Project Code and Name ]],PAProjects[LINKING_CODE],1,FALSE)</f>
        <v>1688 Retooling of Uganda Export Promotion Board</v>
      </c>
      <c r="D85" t="s">
        <v>306</v>
      </c>
      <c r="E85" t="str">
        <f>VLOOKUP(MasterTable[[#This Row],[Vote]],'MTEF 21-22'!A:B,2,FALSE)</f>
        <v>Uganda Export Promotion Board</v>
      </c>
      <c r="F85" t="str">
        <f>CONCATENATE(MasterTable[[#This Row],[Vote]]," ",MasterTable[[#This Row],[Vote Name]])</f>
        <v>306 Uganda Export Promotion Board</v>
      </c>
      <c r="G85" t="s">
        <v>19</v>
      </c>
      <c r="H85" s="16">
        <v>44013</v>
      </c>
      <c r="I85" s="16">
        <v>45838</v>
      </c>
      <c r="J85" t="s">
        <v>20</v>
      </c>
      <c r="K85" t="s">
        <v>21</v>
      </c>
      <c r="L85" s="17">
        <v>0</v>
      </c>
      <c r="M85" s="17">
        <v>56280720</v>
      </c>
      <c r="N85" s="17">
        <v>0</v>
      </c>
      <c r="O85" s="17">
        <v>0</v>
      </c>
      <c r="P85" s="17">
        <v>2263000000</v>
      </c>
      <c r="Q85" s="17">
        <v>2263000000</v>
      </c>
      <c r="R85" s="17">
        <v>2219000280</v>
      </c>
      <c r="S85" s="17">
        <v>1569000000</v>
      </c>
      <c r="T85" s="17">
        <v>1159000000</v>
      </c>
      <c r="U85" s="17">
        <v>0</v>
      </c>
      <c r="V85" s="17">
        <v>0</v>
      </c>
      <c r="W85" s="17">
        <v>7266281000</v>
      </c>
      <c r="X85" s="17"/>
      <c r="Y85" t="s">
        <v>380</v>
      </c>
      <c r="AA85" t="s">
        <v>23</v>
      </c>
    </row>
    <row r="86" spans="1:27" x14ac:dyDescent="0.25">
      <c r="A86" t="s">
        <v>383</v>
      </c>
      <c r="B86" t="s">
        <v>384</v>
      </c>
      <c r="C86" t="str">
        <f>VLOOKUP(MasterTable[[#This Row],[Project Code and Name ]],PAProjects[LINKING_CODE],1,FALSE)</f>
        <v>0265 Upgrade Atiak - Moyo-Afoji (104km)</v>
      </c>
      <c r="D86" t="s">
        <v>113</v>
      </c>
      <c r="E86" t="str">
        <f>VLOOKUP(MasterTable[[#This Row],[Vote]],'MTEF 21-22'!A:B,2,FALSE)</f>
        <v>Uganda National Roads Authority</v>
      </c>
      <c r="F86" t="str">
        <f>CONCATENATE(MasterTable[[#This Row],[Vote]]," ",MasterTable[[#This Row],[Vote Name]])</f>
        <v>113 Uganda National Roads Authority</v>
      </c>
      <c r="G86" t="s">
        <v>19</v>
      </c>
      <c r="H86" s="16">
        <v>41274</v>
      </c>
      <c r="I86" s="16">
        <v>45473</v>
      </c>
      <c r="J86" t="s">
        <v>20</v>
      </c>
      <c r="K86" t="s">
        <v>36</v>
      </c>
      <c r="L86" s="17">
        <v>260000000</v>
      </c>
      <c r="M86" s="17">
        <v>4334763000</v>
      </c>
      <c r="N86" s="17">
        <v>1542552458</v>
      </c>
      <c r="O86" s="17"/>
      <c r="P86" s="17">
        <v>15731567652</v>
      </c>
      <c r="Q86" s="17">
        <v>17274120110</v>
      </c>
      <c r="R86" s="17">
        <v>7449891808</v>
      </c>
      <c r="S86" s="17">
        <v>5100000000</v>
      </c>
      <c r="T86" s="17"/>
      <c r="U86" s="17"/>
      <c r="V86" s="17"/>
      <c r="W86" s="17">
        <v>34418774918</v>
      </c>
      <c r="X86" s="17">
        <v>39420837045</v>
      </c>
      <c r="AA86" t="s">
        <v>23</v>
      </c>
    </row>
    <row r="87" spans="1:27" x14ac:dyDescent="0.25">
      <c r="A87" t="s">
        <v>383</v>
      </c>
      <c r="B87" t="s">
        <v>384</v>
      </c>
      <c r="C87" t="str">
        <f>VLOOKUP(MasterTable[[#This Row],[Project Code and Name ]],PAProjects[LINKING_CODE],1,FALSE)</f>
        <v>0265 Upgrade Atiak - Moyo-Afoji (104km)</v>
      </c>
      <c r="D87" t="s">
        <v>113</v>
      </c>
      <c r="E87" t="str">
        <f>VLOOKUP(MasterTable[[#This Row],[Vote]],'MTEF 21-22'!A:B,2,FALSE)</f>
        <v>Uganda National Roads Authority</v>
      </c>
      <c r="F87" t="str">
        <f>CONCATENATE(MasterTable[[#This Row],[Vote]]," ",MasterTable[[#This Row],[Vote Name]])</f>
        <v>113 Uganda National Roads Authority</v>
      </c>
      <c r="G87" t="s">
        <v>25</v>
      </c>
      <c r="H87" s="16">
        <v>41274</v>
      </c>
      <c r="I87" s="16">
        <v>45473</v>
      </c>
      <c r="J87" t="s">
        <v>20</v>
      </c>
      <c r="K87" t="s">
        <v>36</v>
      </c>
      <c r="L87" s="17">
        <v>0</v>
      </c>
      <c r="M87" s="17">
        <v>23972460300</v>
      </c>
      <c r="N87" s="17">
        <v>0</v>
      </c>
      <c r="O87" s="17"/>
      <c r="P87" s="17">
        <v>87000000000</v>
      </c>
      <c r="Q87" s="17">
        <v>87000000000</v>
      </c>
      <c r="R87" s="17">
        <v>41200000000</v>
      </c>
      <c r="S87" s="17">
        <v>28230000000</v>
      </c>
      <c r="T87" s="17"/>
      <c r="U87" s="17"/>
      <c r="V87" s="17"/>
      <c r="W87" s="17">
        <v>180402460300</v>
      </c>
      <c r="X87" s="17">
        <v>34944928875</v>
      </c>
    </row>
    <row r="88" spans="1:27" x14ac:dyDescent="0.25">
      <c r="A88" t="s">
        <v>383</v>
      </c>
      <c r="B88" t="s">
        <v>385</v>
      </c>
      <c r="C88" t="str">
        <f>VLOOKUP(MasterTable[[#This Row],[Project Code and Name ]],PAProjects[LINKING_CODE],1,FALSE)</f>
        <v>0267 Improvement of Ferry Services</v>
      </c>
      <c r="D88" t="s">
        <v>113</v>
      </c>
      <c r="E88" t="str">
        <f>VLOOKUP(MasterTable[[#This Row],[Vote]],'MTEF 21-22'!A:B,2,FALSE)</f>
        <v>Uganda National Roads Authority</v>
      </c>
      <c r="F88" t="str">
        <f>CONCATENATE(MasterTable[[#This Row],[Vote]]," ",MasterTable[[#This Row],[Vote Name]])</f>
        <v>113 Uganda National Roads Authority</v>
      </c>
      <c r="G88" t="s">
        <v>19</v>
      </c>
      <c r="H88" s="16">
        <v>42186</v>
      </c>
      <c r="I88" s="16">
        <v>44742</v>
      </c>
      <c r="J88" t="s">
        <v>20</v>
      </c>
      <c r="K88" t="s">
        <v>36</v>
      </c>
      <c r="L88" s="17">
        <v>57762522342</v>
      </c>
      <c r="M88" s="17">
        <v>48284110000</v>
      </c>
      <c r="N88" s="17">
        <v>16805923879</v>
      </c>
      <c r="O88" s="17"/>
      <c r="P88" s="17">
        <v>91700000000</v>
      </c>
      <c r="Q88" s="17">
        <v>108505923879</v>
      </c>
      <c r="R88" s="17"/>
      <c r="S88" s="17"/>
      <c r="T88" s="17"/>
      <c r="U88" s="17"/>
      <c r="V88" s="17"/>
      <c r="W88" s="17">
        <v>214552556221</v>
      </c>
      <c r="X88" s="17">
        <v>157410000000</v>
      </c>
      <c r="AA88" t="s">
        <v>28</v>
      </c>
    </row>
    <row r="89" spans="1:27" x14ac:dyDescent="0.25">
      <c r="A89" t="s">
        <v>383</v>
      </c>
      <c r="B89" t="s">
        <v>386</v>
      </c>
      <c r="C89" t="str">
        <f>VLOOKUP(MasterTable[[#This Row],[Project Code and Name ]],PAProjects[LINKING_CODE],1,FALSE)</f>
        <v>0952 Design Masaka-Bukakata road</v>
      </c>
      <c r="D89" t="s">
        <v>113</v>
      </c>
      <c r="E89" t="str">
        <f>VLOOKUP(MasterTable[[#This Row],[Vote]],'MTEF 21-22'!A:B,2,FALSE)</f>
        <v>Uganda National Roads Authority</v>
      </c>
      <c r="F89" t="str">
        <f>CONCATENATE(MasterTable[[#This Row],[Vote]]," ",MasterTable[[#This Row],[Vote Name]])</f>
        <v>113 Uganda National Roads Authority</v>
      </c>
      <c r="G89" t="s">
        <v>19</v>
      </c>
      <c r="H89" s="16">
        <v>41821</v>
      </c>
      <c r="I89" s="16">
        <v>44742</v>
      </c>
      <c r="J89" t="s">
        <v>20</v>
      </c>
      <c r="K89" t="s">
        <v>36</v>
      </c>
      <c r="L89" s="17">
        <v>38787665052</v>
      </c>
      <c r="M89" s="17">
        <v>47795233000</v>
      </c>
      <c r="N89" s="17">
        <v>1408036890</v>
      </c>
      <c r="O89" s="17"/>
      <c r="P89" s="17">
        <v>4000000000</v>
      </c>
      <c r="Q89" s="17">
        <v>5408036890</v>
      </c>
      <c r="R89" s="17"/>
      <c r="S89" s="17"/>
      <c r="T89" s="17"/>
      <c r="U89" s="17"/>
      <c r="V89" s="17"/>
      <c r="W89" s="17">
        <v>91990934942</v>
      </c>
      <c r="X89" s="17">
        <v>74695559060</v>
      </c>
    </row>
    <row r="90" spans="1:27" x14ac:dyDescent="0.25">
      <c r="A90" t="s">
        <v>383</v>
      </c>
      <c r="B90" t="s">
        <v>386</v>
      </c>
      <c r="C90" t="str">
        <f>VLOOKUP(MasterTable[[#This Row],[Project Code and Name ]],PAProjects[LINKING_CODE],1,FALSE)</f>
        <v>0952 Design Masaka-Bukakata road</v>
      </c>
      <c r="D90" t="s">
        <v>113</v>
      </c>
      <c r="E90" t="str">
        <f>VLOOKUP(MasterTable[[#This Row],[Vote]],'MTEF 21-22'!A:B,2,FALSE)</f>
        <v>Uganda National Roads Authority</v>
      </c>
      <c r="F90" t="str">
        <f>CONCATENATE(MasterTable[[#This Row],[Vote]]," ",MasterTable[[#This Row],[Vote Name]])</f>
        <v>113 Uganda National Roads Authority</v>
      </c>
      <c r="G90" t="s">
        <v>25</v>
      </c>
      <c r="H90" s="16">
        <v>41822</v>
      </c>
      <c r="I90" s="16">
        <v>44742</v>
      </c>
      <c r="J90" t="s">
        <v>20</v>
      </c>
      <c r="K90" t="s">
        <v>36</v>
      </c>
      <c r="L90" s="17">
        <v>72507706648</v>
      </c>
      <c r="M90" s="17">
        <v>34262272350</v>
      </c>
      <c r="N90" s="17">
        <v>0</v>
      </c>
      <c r="O90" s="17"/>
      <c r="P90" s="17">
        <v>0</v>
      </c>
      <c r="Q90" s="17">
        <v>0</v>
      </c>
      <c r="R90" s="17"/>
      <c r="S90" s="17"/>
      <c r="T90" s="17"/>
      <c r="U90" s="17"/>
      <c r="V90" s="17"/>
      <c r="W90" s="17">
        <v>106769978998</v>
      </c>
      <c r="X90" s="17">
        <v>95067075167</v>
      </c>
    </row>
    <row r="91" spans="1:27" x14ac:dyDescent="0.25">
      <c r="A91" t="s">
        <v>383</v>
      </c>
      <c r="B91" t="s">
        <v>387</v>
      </c>
      <c r="C91" t="str">
        <f>VLOOKUP(MasterTable[[#This Row],[Project Code and Name ]],PAProjects[LINKING_CODE],1,FALSE)</f>
        <v>1040 Design Kapchorwa-Suam road (77km)</v>
      </c>
      <c r="D91" t="s">
        <v>113</v>
      </c>
      <c r="E91" t="str">
        <f>VLOOKUP(MasterTable[[#This Row],[Vote]],'MTEF 21-22'!A:B,2,FALSE)</f>
        <v>Uganda National Roads Authority</v>
      </c>
      <c r="F91" t="str">
        <f>CONCATENATE(MasterTable[[#This Row],[Vote]]," ",MasterTable[[#This Row],[Vote Name]])</f>
        <v>113 Uganda National Roads Authority</v>
      </c>
      <c r="G91" t="s">
        <v>19</v>
      </c>
      <c r="H91" s="16">
        <v>41305</v>
      </c>
      <c r="I91" s="16">
        <v>44742</v>
      </c>
      <c r="J91" t="s">
        <v>20</v>
      </c>
      <c r="K91" t="s">
        <v>36</v>
      </c>
      <c r="L91" s="17">
        <v>27861355986</v>
      </c>
      <c r="M91" s="17">
        <v>21676801000</v>
      </c>
      <c r="N91" s="17">
        <v>0</v>
      </c>
      <c r="O91" s="17"/>
      <c r="P91" s="17">
        <v>6558990392</v>
      </c>
      <c r="Q91" s="17">
        <v>6558990392</v>
      </c>
      <c r="R91" s="17">
        <v>0</v>
      </c>
      <c r="S91" s="17">
        <v>0</v>
      </c>
      <c r="T91" s="17">
        <v>0</v>
      </c>
      <c r="U91" s="17"/>
      <c r="V91" s="17"/>
      <c r="W91" s="17">
        <v>56097147378</v>
      </c>
      <c r="X91" s="17">
        <v>62738261349</v>
      </c>
    </row>
    <row r="92" spans="1:27" x14ac:dyDescent="0.25">
      <c r="A92" t="s">
        <v>383</v>
      </c>
      <c r="B92" t="s">
        <v>387</v>
      </c>
      <c r="C92" t="str">
        <f>VLOOKUP(MasterTable[[#This Row],[Project Code and Name ]],PAProjects[LINKING_CODE],1,FALSE)</f>
        <v>1040 Design Kapchorwa-Suam road (77km)</v>
      </c>
      <c r="D92" t="s">
        <v>113</v>
      </c>
      <c r="E92" t="str">
        <f>VLOOKUP(MasterTable[[#This Row],[Vote]],'MTEF 21-22'!A:B,2,FALSE)</f>
        <v>Uganda National Roads Authority</v>
      </c>
      <c r="F92" t="str">
        <f>CONCATENATE(MasterTable[[#This Row],[Vote]]," ",MasterTable[[#This Row],[Vote Name]])</f>
        <v>113 Uganda National Roads Authority</v>
      </c>
      <c r="G92" t="s">
        <v>25</v>
      </c>
      <c r="H92" s="16">
        <v>41305</v>
      </c>
      <c r="I92" s="16">
        <v>44742</v>
      </c>
      <c r="J92" t="s">
        <v>20</v>
      </c>
      <c r="K92" t="s">
        <v>36</v>
      </c>
      <c r="L92" s="17">
        <v>79897496374</v>
      </c>
      <c r="M92" s="17">
        <v>86739930000</v>
      </c>
      <c r="N92" s="17">
        <v>0</v>
      </c>
      <c r="O92" s="17"/>
      <c r="P92" s="17">
        <v>87846368568</v>
      </c>
      <c r="Q92" s="17">
        <v>87846368568</v>
      </c>
      <c r="R92" s="17">
        <v>0</v>
      </c>
      <c r="S92" s="17">
        <v>0</v>
      </c>
      <c r="T92" s="17">
        <v>0</v>
      </c>
      <c r="U92" s="17"/>
      <c r="V92" s="17"/>
      <c r="W92" s="17">
        <v>254483794942</v>
      </c>
      <c r="X92" s="17">
        <v>216570000000</v>
      </c>
    </row>
    <row r="93" spans="1:27" x14ac:dyDescent="0.25">
      <c r="A93" t="s">
        <v>383</v>
      </c>
      <c r="B93" t="s">
        <v>388</v>
      </c>
      <c r="C93" t="str">
        <f>VLOOKUP(MasterTable[[#This Row],[Project Code and Name ]],PAProjects[LINKING_CODE],1,FALSE)</f>
        <v>1041 Design Kyenjojo-Hoima-Masindi-Kigumba (238km)</v>
      </c>
      <c r="D93" t="s">
        <v>113</v>
      </c>
      <c r="E93" t="str">
        <f>VLOOKUP(MasterTable[[#This Row],[Vote]],'MTEF 21-22'!A:B,2,FALSE)</f>
        <v>Uganda National Roads Authority</v>
      </c>
      <c r="F93" t="str">
        <f>CONCATENATE(MasterTable[[#This Row],[Vote]]," ",MasterTable[[#This Row],[Vote Name]])</f>
        <v>113 Uganda National Roads Authority</v>
      </c>
      <c r="G93" t="s">
        <v>19</v>
      </c>
      <c r="H93" s="16">
        <v>41670</v>
      </c>
      <c r="I93" s="16">
        <v>44377</v>
      </c>
      <c r="J93" t="s">
        <v>20</v>
      </c>
      <c r="K93" t="s">
        <v>36</v>
      </c>
      <c r="L93" s="17">
        <v>26632189765</v>
      </c>
      <c r="M93" s="17">
        <v>8363081000</v>
      </c>
      <c r="N93" s="17">
        <v>0</v>
      </c>
      <c r="O93" s="17"/>
      <c r="P93" s="17">
        <v>7269113744</v>
      </c>
      <c r="Q93" s="17">
        <v>7269113744</v>
      </c>
      <c r="R93" s="17">
        <v>0</v>
      </c>
      <c r="S93" s="17">
        <v>0</v>
      </c>
      <c r="T93" s="17">
        <v>0</v>
      </c>
      <c r="U93" s="17"/>
      <c r="V93" s="17"/>
      <c r="W93" s="17">
        <v>42264384509</v>
      </c>
      <c r="X93" s="17">
        <v>92476741437</v>
      </c>
    </row>
    <row r="94" spans="1:27" x14ac:dyDescent="0.25">
      <c r="A94" t="s">
        <v>383</v>
      </c>
      <c r="B94" t="s">
        <v>388</v>
      </c>
      <c r="C94" t="str">
        <f>VLOOKUP(MasterTable[[#This Row],[Project Code and Name ]],PAProjects[LINKING_CODE],1,FALSE)</f>
        <v>1041 Design Kyenjojo-Hoima-Masindi-Kigumba (238km)</v>
      </c>
      <c r="D94" t="s">
        <v>113</v>
      </c>
      <c r="E94" t="str">
        <f>VLOOKUP(MasterTable[[#This Row],[Vote]],'MTEF 21-22'!A:B,2,FALSE)</f>
        <v>Uganda National Roads Authority</v>
      </c>
      <c r="F94" t="str">
        <f>CONCATENATE(MasterTable[[#This Row],[Vote]]," ",MasterTable[[#This Row],[Vote Name]])</f>
        <v>113 Uganda National Roads Authority</v>
      </c>
      <c r="G94" t="s">
        <v>25</v>
      </c>
      <c r="H94" s="16">
        <v>41670</v>
      </c>
      <c r="I94" s="16">
        <v>44377</v>
      </c>
      <c r="J94" t="s">
        <v>20</v>
      </c>
      <c r="K94" t="s">
        <v>36</v>
      </c>
      <c r="L94" s="17">
        <v>176786282296</v>
      </c>
      <c r="M94" s="17">
        <v>105162570000</v>
      </c>
      <c r="N94" s="17">
        <v>0</v>
      </c>
      <c r="O94" s="17"/>
      <c r="P94" s="17">
        <v>79964761227</v>
      </c>
      <c r="Q94" s="17">
        <v>79964761227</v>
      </c>
      <c r="R94" s="17">
        <v>0</v>
      </c>
      <c r="S94" s="17">
        <v>0</v>
      </c>
      <c r="T94" s="17">
        <v>0</v>
      </c>
      <c r="U94" s="17"/>
      <c r="V94" s="17"/>
      <c r="W94" s="17">
        <v>361913613523</v>
      </c>
      <c r="X94" s="17">
        <v>247728959498</v>
      </c>
    </row>
    <row r="95" spans="1:27" x14ac:dyDescent="0.25">
      <c r="A95" t="s">
        <v>383</v>
      </c>
      <c r="B95" t="s">
        <v>389</v>
      </c>
      <c r="C95" t="str">
        <f>VLOOKUP(MasterTable[[#This Row],[Project Code and Name ]],PAProjects[LINKING_CODE],1,FALSE)</f>
        <v>1176 Hoima-Wanseko Road (83Km)</v>
      </c>
      <c r="D95" t="s">
        <v>113</v>
      </c>
      <c r="E95" t="str">
        <f>VLOOKUP(MasterTable[[#This Row],[Vote]],'MTEF 21-22'!A:B,2,FALSE)</f>
        <v>Uganda National Roads Authority</v>
      </c>
      <c r="F95" t="str">
        <f>CONCATENATE(MasterTable[[#This Row],[Vote]]," ",MasterTable[[#This Row],[Vote Name]])</f>
        <v>113 Uganda National Roads Authority</v>
      </c>
      <c r="G95" t="s">
        <v>19</v>
      </c>
      <c r="H95" s="16">
        <v>40877</v>
      </c>
      <c r="I95" s="16">
        <v>44742</v>
      </c>
      <c r="J95" t="s">
        <v>20</v>
      </c>
      <c r="K95" t="s">
        <v>36</v>
      </c>
      <c r="L95" s="17">
        <v>9719477048</v>
      </c>
      <c r="M95" s="17">
        <v>221920600000</v>
      </c>
      <c r="N95" s="17">
        <v>83304597757</v>
      </c>
      <c r="O95" s="17"/>
      <c r="P95" s="17">
        <v>72904083180</v>
      </c>
      <c r="Q95" s="17">
        <v>156208680937</v>
      </c>
      <c r="R95" s="17">
        <v>0</v>
      </c>
      <c r="S95" s="17">
        <v>0</v>
      </c>
      <c r="T95" s="17">
        <v>0</v>
      </c>
      <c r="U95" s="17"/>
      <c r="V95" s="17"/>
      <c r="W95" s="17">
        <v>387848757985</v>
      </c>
      <c r="X95" s="17">
        <v>559930865492</v>
      </c>
    </row>
    <row r="96" spans="1:27" x14ac:dyDescent="0.25">
      <c r="A96" t="s">
        <v>383</v>
      </c>
      <c r="B96" t="s">
        <v>389</v>
      </c>
      <c r="C96" t="str">
        <f>VLOOKUP(MasterTable[[#This Row],[Project Code and Name ]],PAProjects[LINKING_CODE],1,FALSE)</f>
        <v>1176 Hoima-Wanseko Road (83Km)</v>
      </c>
      <c r="D96" t="s">
        <v>113</v>
      </c>
      <c r="E96" t="str">
        <f>VLOOKUP(MasterTable[[#This Row],[Vote]],'MTEF 21-22'!A:B,2,FALSE)</f>
        <v>Uganda National Roads Authority</v>
      </c>
      <c r="F96" t="str">
        <f>CONCATENATE(MasterTable[[#This Row],[Vote]]," ",MasterTable[[#This Row],[Vote Name]])</f>
        <v>113 Uganda National Roads Authority</v>
      </c>
      <c r="G96" t="s">
        <v>25</v>
      </c>
      <c r="H96" s="16">
        <v>40877</v>
      </c>
      <c r="I96" s="16">
        <v>44742</v>
      </c>
      <c r="J96" t="s">
        <v>20</v>
      </c>
      <c r="K96" t="s">
        <v>36</v>
      </c>
      <c r="L96" s="17">
        <v>57111560841</v>
      </c>
      <c r="M96" s="17">
        <v>743706624600</v>
      </c>
      <c r="N96" s="17">
        <v>0</v>
      </c>
      <c r="O96" s="17"/>
      <c r="P96" s="17">
        <v>561121256695</v>
      </c>
      <c r="Q96" s="17">
        <v>561121256695</v>
      </c>
      <c r="R96" s="17">
        <v>0</v>
      </c>
      <c r="S96" s="17">
        <v>0</v>
      </c>
      <c r="T96" s="17">
        <v>0</v>
      </c>
      <c r="U96" s="17"/>
      <c r="V96" s="17"/>
      <c r="W96" s="17">
        <v>1361939442136</v>
      </c>
      <c r="X96" s="17">
        <v>2163369253036</v>
      </c>
    </row>
    <row r="97" spans="1:25" x14ac:dyDescent="0.25">
      <c r="A97" t="s">
        <v>383</v>
      </c>
      <c r="B97" t="s">
        <v>390</v>
      </c>
      <c r="C97" t="str">
        <f>VLOOKUP(MasterTable[[#This Row],[Project Code and Name ]],PAProjects[LINKING_CODE],1,FALSE)</f>
        <v>1274 Musita-Lumino-Busia/Majanji Road</v>
      </c>
      <c r="D97" t="s">
        <v>113</v>
      </c>
      <c r="E97" t="str">
        <f>VLOOKUP(MasterTable[[#This Row],[Vote]],'MTEF 21-22'!A:B,2,FALSE)</f>
        <v>Uganda National Roads Authority</v>
      </c>
      <c r="F97" t="str">
        <f>CONCATENATE(MasterTable[[#This Row],[Vote]]," ",MasterTable[[#This Row],[Vote Name]])</f>
        <v>113 Uganda National Roads Authority</v>
      </c>
      <c r="G97" t="s">
        <v>19</v>
      </c>
      <c r="H97" s="16">
        <v>42923</v>
      </c>
      <c r="I97" s="16">
        <v>45107</v>
      </c>
      <c r="J97" t="s">
        <v>20</v>
      </c>
      <c r="K97" t="s">
        <v>36</v>
      </c>
      <c r="L97" s="17">
        <v>177154722664</v>
      </c>
      <c r="M97" s="17">
        <v>22030000000</v>
      </c>
      <c r="N97" s="17">
        <v>22076166640</v>
      </c>
      <c r="O97" s="17"/>
      <c r="P97" s="17">
        <v>18600000000</v>
      </c>
      <c r="Q97" s="17">
        <v>40676166640</v>
      </c>
      <c r="R97" s="17">
        <v>27900000000</v>
      </c>
      <c r="S97" s="17">
        <v>0</v>
      </c>
      <c r="T97" s="17">
        <v>0</v>
      </c>
      <c r="U97" s="17"/>
      <c r="V97" s="17"/>
      <c r="W97" s="17">
        <v>267760889304</v>
      </c>
      <c r="X97" s="17">
        <v>221491112453</v>
      </c>
      <c r="Y97" t="s">
        <v>391</v>
      </c>
    </row>
    <row r="98" spans="1:25" x14ac:dyDescent="0.25">
      <c r="A98" t="s">
        <v>383</v>
      </c>
      <c r="B98" t="s">
        <v>392</v>
      </c>
      <c r="C98" t="str">
        <f>VLOOKUP(MasterTable[[#This Row],[Project Code and Name ]],PAProjects[LINKING_CODE],1,FALSE)</f>
        <v>1275 Olwiyo-Gulu-Kitgum Road</v>
      </c>
      <c r="D98" t="s">
        <v>113</v>
      </c>
      <c r="E98" t="str">
        <f>VLOOKUP(MasterTable[[#This Row],[Vote]],'MTEF 21-22'!A:B,2,FALSE)</f>
        <v>Uganda National Roads Authority</v>
      </c>
      <c r="F98" t="str">
        <f>CONCATENATE(MasterTable[[#This Row],[Vote]]," ",MasterTable[[#This Row],[Vote Name]])</f>
        <v>113 Uganda National Roads Authority</v>
      </c>
      <c r="G98" t="s">
        <v>19</v>
      </c>
      <c r="H98" s="16">
        <v>41729</v>
      </c>
      <c r="I98" s="16">
        <v>44651</v>
      </c>
      <c r="J98" t="s">
        <v>35</v>
      </c>
      <c r="K98" t="s">
        <v>36</v>
      </c>
      <c r="L98" s="17">
        <v>147804336769</v>
      </c>
      <c r="M98" s="17">
        <v>32100000000</v>
      </c>
      <c r="N98" s="17">
        <v>10849579420</v>
      </c>
      <c r="O98" s="17"/>
      <c r="P98" s="17">
        <v>43624153909</v>
      </c>
      <c r="Q98" s="17">
        <v>54473733329</v>
      </c>
      <c r="R98" s="17">
        <v>0</v>
      </c>
      <c r="S98" s="17">
        <v>0</v>
      </c>
      <c r="T98" s="17">
        <v>0</v>
      </c>
      <c r="U98" s="17"/>
      <c r="V98" s="17"/>
      <c r="W98" s="17">
        <v>234378070098</v>
      </c>
      <c r="X98" s="17">
        <v>553497626990</v>
      </c>
    </row>
    <row r="99" spans="1:25" x14ac:dyDescent="0.25">
      <c r="A99" t="s">
        <v>383</v>
      </c>
      <c r="B99" t="s">
        <v>393</v>
      </c>
      <c r="C99" t="str">
        <f>VLOOKUP(MasterTable[[#This Row],[Project Code and Name ]],PAProjects[LINKING_CODE],1,FALSE)</f>
        <v>1276 Mubende-Kakumiro-Kagadi Road</v>
      </c>
      <c r="D99" t="s">
        <v>113</v>
      </c>
      <c r="E99" t="str">
        <f>VLOOKUP(MasterTable[[#This Row],[Vote]],'MTEF 21-22'!A:B,2,FALSE)</f>
        <v>Uganda National Roads Authority</v>
      </c>
      <c r="F99" t="str">
        <f>CONCATENATE(MasterTable[[#This Row],[Vote]]," ",MasterTable[[#This Row],[Vote Name]])</f>
        <v>113 Uganda National Roads Authority</v>
      </c>
      <c r="G99" t="s">
        <v>19</v>
      </c>
      <c r="H99" s="16">
        <v>41729</v>
      </c>
      <c r="I99" s="46"/>
      <c r="J99" t="s">
        <v>20</v>
      </c>
      <c r="K99" t="s">
        <v>36</v>
      </c>
      <c r="L99" s="17">
        <v>394008681818</v>
      </c>
      <c r="M99" s="17">
        <v>24170000000</v>
      </c>
      <c r="N99" s="17">
        <v>41501567440</v>
      </c>
      <c r="O99" s="17"/>
      <c r="P99" s="17">
        <v>2432000000</v>
      </c>
      <c r="Q99" s="17">
        <v>43933567440</v>
      </c>
      <c r="R99" s="17">
        <v>0</v>
      </c>
      <c r="S99" s="17">
        <v>0</v>
      </c>
      <c r="T99" s="17">
        <v>0</v>
      </c>
      <c r="U99" s="17"/>
      <c r="V99" s="17"/>
      <c r="W99" s="17">
        <v>462112249258</v>
      </c>
      <c r="X99" s="17">
        <v>496772591592</v>
      </c>
    </row>
    <row r="100" spans="1:25" x14ac:dyDescent="0.25">
      <c r="A100" t="s">
        <v>383</v>
      </c>
      <c r="B100" t="s">
        <v>394</v>
      </c>
      <c r="C100" t="str">
        <f>VLOOKUP(MasterTable[[#This Row],[Project Code and Name ]],PAProjects[LINKING_CODE],1,FALSE)</f>
        <v>1277 Kampala Northern Bypass Phase 2</v>
      </c>
      <c r="D100" t="s">
        <v>113</v>
      </c>
      <c r="E100" t="str">
        <f>VLOOKUP(MasterTable[[#This Row],[Vote]],'MTEF 21-22'!A:B,2,FALSE)</f>
        <v>Uganda National Roads Authority</v>
      </c>
      <c r="F100" t="str">
        <f>CONCATENATE(MasterTable[[#This Row],[Vote]]," ",MasterTable[[#This Row],[Vote Name]])</f>
        <v>113 Uganda National Roads Authority</v>
      </c>
      <c r="G100" t="s">
        <v>19</v>
      </c>
      <c r="H100" s="16">
        <v>41729</v>
      </c>
      <c r="I100" s="16">
        <v>45107</v>
      </c>
      <c r="J100" t="s">
        <v>20</v>
      </c>
      <c r="K100" t="s">
        <v>36</v>
      </c>
      <c r="L100" s="17">
        <v>273680654381</v>
      </c>
      <c r="M100" s="17">
        <v>55020000000</v>
      </c>
      <c r="N100" s="17">
        <v>50238770926</v>
      </c>
      <c r="O100" s="17"/>
      <c r="P100" s="17">
        <v>33884400000</v>
      </c>
      <c r="Q100" s="17">
        <v>84123170926</v>
      </c>
      <c r="R100" s="17">
        <v>756000000</v>
      </c>
      <c r="S100" s="17">
        <v>0</v>
      </c>
      <c r="T100" s="17">
        <v>0</v>
      </c>
      <c r="U100" s="17"/>
      <c r="V100" s="17"/>
      <c r="W100" s="17">
        <v>413579825307</v>
      </c>
      <c r="X100" s="17">
        <v>278470272988</v>
      </c>
    </row>
    <row r="101" spans="1:25" x14ac:dyDescent="0.25">
      <c r="A101" t="s">
        <v>383</v>
      </c>
      <c r="B101" t="s">
        <v>394</v>
      </c>
      <c r="C101" t="str">
        <f>VLOOKUP(MasterTable[[#This Row],[Project Code and Name ]],PAProjects[LINKING_CODE],1,FALSE)</f>
        <v>1277 Kampala Northern Bypass Phase 2</v>
      </c>
      <c r="D101" t="s">
        <v>113</v>
      </c>
      <c r="E101" t="str">
        <f>VLOOKUP(MasterTable[[#This Row],[Vote]],'MTEF 21-22'!A:B,2,FALSE)</f>
        <v>Uganda National Roads Authority</v>
      </c>
      <c r="F101" t="str">
        <f>CONCATENATE(MasterTable[[#This Row],[Vote]]," ",MasterTable[[#This Row],[Vote Name]])</f>
        <v>113 Uganda National Roads Authority</v>
      </c>
      <c r="G101" t="s">
        <v>25</v>
      </c>
      <c r="H101" s="16">
        <v>41729</v>
      </c>
      <c r="I101" s="16">
        <v>45107</v>
      </c>
      <c r="J101" t="s">
        <v>20</v>
      </c>
      <c r="K101" t="s">
        <v>36</v>
      </c>
      <c r="L101" s="17">
        <v>141260169293</v>
      </c>
      <c r="M101" s="17">
        <v>0</v>
      </c>
      <c r="N101" s="17">
        <v>0</v>
      </c>
      <c r="O101" s="17"/>
      <c r="P101" s="17">
        <v>0</v>
      </c>
      <c r="Q101" s="17">
        <v>0</v>
      </c>
      <c r="R101" s="17">
        <v>0</v>
      </c>
      <c r="S101" s="17">
        <v>0</v>
      </c>
      <c r="T101" s="17">
        <v>0</v>
      </c>
      <c r="U101" s="17"/>
      <c r="V101" s="17"/>
      <c r="W101" s="17">
        <v>141260169293</v>
      </c>
      <c r="X101" s="17">
        <v>163472863985</v>
      </c>
    </row>
    <row r="102" spans="1:25" x14ac:dyDescent="0.25">
      <c r="A102" t="s">
        <v>383</v>
      </c>
      <c r="B102" t="s">
        <v>395</v>
      </c>
      <c r="C102" t="str">
        <f>VLOOKUP(MasterTable[[#This Row],[Project Code and Name ]],PAProjects[LINKING_CODE],1,FALSE)</f>
        <v>1279 Seeta-Kyaliwajjala-Matugga-Wakiso-Buloba-Nsangi</v>
      </c>
      <c r="D102" t="s">
        <v>113</v>
      </c>
      <c r="E102" t="str">
        <f>VLOOKUP(MasterTable[[#This Row],[Vote]],'MTEF 21-22'!A:B,2,FALSE)</f>
        <v>Uganda National Roads Authority</v>
      </c>
      <c r="F102" t="str">
        <f>CONCATENATE(MasterTable[[#This Row],[Vote]]," ",MasterTable[[#This Row],[Vote Name]])</f>
        <v>113 Uganda National Roads Authority</v>
      </c>
      <c r="G102" t="s">
        <v>19</v>
      </c>
      <c r="H102" s="16">
        <v>41671</v>
      </c>
      <c r="I102" s="16">
        <v>45473</v>
      </c>
      <c r="J102" t="s">
        <v>20</v>
      </c>
      <c r="K102" t="s">
        <v>36</v>
      </c>
      <c r="L102" s="17">
        <v>0</v>
      </c>
      <c r="M102" s="17">
        <v>23050000000</v>
      </c>
      <c r="N102" s="17">
        <v>0</v>
      </c>
      <c r="O102" s="17"/>
      <c r="P102" s="17">
        <v>86666666666</v>
      </c>
      <c r="Q102" s="17">
        <v>86666666666</v>
      </c>
      <c r="R102" s="17">
        <v>70000000000</v>
      </c>
      <c r="S102" s="17">
        <v>70000000000</v>
      </c>
      <c r="T102" s="17">
        <v>0</v>
      </c>
      <c r="U102" s="17"/>
      <c r="V102" s="17"/>
      <c r="W102" s="17">
        <v>249716666666</v>
      </c>
      <c r="X102" s="17"/>
    </row>
    <row r="103" spans="1:25" x14ac:dyDescent="0.25">
      <c r="A103" t="s">
        <v>383</v>
      </c>
      <c r="B103" t="s">
        <v>396</v>
      </c>
      <c r="C103" t="str">
        <f>VLOOKUP(MasterTable[[#This Row],[Project Code and Name ]],PAProjects[LINKING_CODE],1,FALSE)</f>
        <v>1280 Najjanankumbi-Busabala Road and Nambole-Namilyango-Seeta</v>
      </c>
      <c r="D103" t="s">
        <v>113</v>
      </c>
      <c r="E103" t="str">
        <f>VLOOKUP(MasterTable[[#This Row],[Vote]],'MTEF 21-22'!A:B,2,FALSE)</f>
        <v>Uganda National Roads Authority</v>
      </c>
      <c r="F103" t="str">
        <f>CONCATENATE(MasterTable[[#This Row],[Vote]]," ",MasterTable[[#This Row],[Vote Name]])</f>
        <v>113 Uganda National Roads Authority</v>
      </c>
      <c r="G103" t="s">
        <v>19</v>
      </c>
      <c r="H103" s="16">
        <v>41672</v>
      </c>
      <c r="I103" s="16">
        <v>45474</v>
      </c>
      <c r="J103" t="s">
        <v>20</v>
      </c>
      <c r="K103" t="s">
        <v>36</v>
      </c>
      <c r="L103" s="17">
        <v>0</v>
      </c>
      <c r="M103" s="17">
        <v>23050000000</v>
      </c>
      <c r="N103" s="17">
        <v>0</v>
      </c>
      <c r="O103" s="17"/>
      <c r="P103" s="17">
        <v>95000000000</v>
      </c>
      <c r="Q103" s="17">
        <v>95000000000</v>
      </c>
      <c r="R103" s="17">
        <v>90000000000</v>
      </c>
      <c r="S103" s="17">
        <v>0</v>
      </c>
      <c r="T103" s="17">
        <v>0</v>
      </c>
      <c r="U103" s="17"/>
      <c r="V103" s="17"/>
      <c r="W103" s="17">
        <v>208050000000</v>
      </c>
      <c r="X103" s="17"/>
    </row>
    <row r="104" spans="1:25" x14ac:dyDescent="0.25">
      <c r="A104" t="s">
        <v>383</v>
      </c>
      <c r="B104" t="s">
        <v>397</v>
      </c>
      <c r="C104" t="str">
        <f>VLOOKUP(MasterTable[[#This Row],[Project Code and Name ]],PAProjects[LINKING_CODE],1,FALSE)</f>
        <v>1281 Tirinyi-Pallisa-Kumi/Kamonkoli Road</v>
      </c>
      <c r="D104" t="s">
        <v>113</v>
      </c>
      <c r="E104" t="str">
        <f>VLOOKUP(MasterTable[[#This Row],[Vote]],'MTEF 21-22'!A:B,2,FALSE)</f>
        <v>Uganda National Roads Authority</v>
      </c>
      <c r="F104" t="str">
        <f>CONCATENATE(MasterTable[[#This Row],[Vote]]," ",MasterTable[[#This Row],[Vote Name]])</f>
        <v>113 Uganda National Roads Authority</v>
      </c>
      <c r="G104" t="s">
        <v>19</v>
      </c>
      <c r="H104" s="16">
        <v>41729</v>
      </c>
      <c r="I104" s="16">
        <v>44923</v>
      </c>
      <c r="J104" t="s">
        <v>20</v>
      </c>
      <c r="K104" t="s">
        <v>36</v>
      </c>
      <c r="L104" s="17">
        <v>97293886975</v>
      </c>
      <c r="M104" s="17">
        <v>41100000000</v>
      </c>
      <c r="N104" s="17">
        <v>0</v>
      </c>
      <c r="O104" s="17"/>
      <c r="P104" s="17">
        <v>15681624615</v>
      </c>
      <c r="Q104" s="17">
        <v>15681624615</v>
      </c>
      <c r="R104" s="17">
        <v>0</v>
      </c>
      <c r="S104" s="17">
        <v>0</v>
      </c>
      <c r="T104" s="17">
        <v>0</v>
      </c>
      <c r="U104" s="17"/>
      <c r="V104" s="17"/>
      <c r="W104" s="17">
        <v>154075511590</v>
      </c>
      <c r="X104" s="17">
        <v>153492543139</v>
      </c>
    </row>
    <row r="105" spans="1:25" x14ac:dyDescent="0.25">
      <c r="A105" t="s">
        <v>383</v>
      </c>
      <c r="B105" t="s">
        <v>397</v>
      </c>
      <c r="C105" t="str">
        <f>VLOOKUP(MasterTable[[#This Row],[Project Code and Name ]],PAProjects[LINKING_CODE],1,FALSE)</f>
        <v>1281 Tirinyi-Pallisa-Kumi/Kamonkoli Road</v>
      </c>
      <c r="D105" t="s">
        <v>113</v>
      </c>
      <c r="E105" t="str">
        <f>VLOOKUP(MasterTable[[#This Row],[Vote]],'MTEF 21-22'!A:B,2,FALSE)</f>
        <v>Uganda National Roads Authority</v>
      </c>
      <c r="F105" t="str">
        <f>CONCATENATE(MasterTable[[#This Row],[Vote]]," ",MasterTable[[#This Row],[Vote Name]])</f>
        <v>113 Uganda National Roads Authority</v>
      </c>
      <c r="G105" t="s">
        <v>25</v>
      </c>
      <c r="H105" s="16">
        <v>41729</v>
      </c>
      <c r="I105" s="16">
        <v>44923</v>
      </c>
      <c r="J105" t="s">
        <v>20</v>
      </c>
      <c r="K105" t="s">
        <v>36</v>
      </c>
      <c r="L105" s="17">
        <v>182604126716</v>
      </c>
      <c r="M105" s="17">
        <v>115141500000</v>
      </c>
      <c r="N105" s="17">
        <v>0</v>
      </c>
      <c r="O105" s="17"/>
      <c r="P105" s="17">
        <v>43932000000</v>
      </c>
      <c r="Q105" s="17">
        <v>43932000000</v>
      </c>
      <c r="R105" s="17">
        <v>0</v>
      </c>
      <c r="S105" s="17">
        <v>0</v>
      </c>
      <c r="T105" s="17">
        <v>0</v>
      </c>
      <c r="U105" s="17"/>
      <c r="V105" s="17"/>
      <c r="W105" s="17">
        <v>341677626716</v>
      </c>
      <c r="X105" s="17">
        <v>326145358150</v>
      </c>
    </row>
    <row r="106" spans="1:25" x14ac:dyDescent="0.25">
      <c r="A106" t="s">
        <v>383</v>
      </c>
      <c r="B106" s="18" t="s">
        <v>1295</v>
      </c>
      <c r="C106" s="18" t="str">
        <f>VLOOKUP(MasterTable[[#This Row],[Project Code and Name ]],PAProjects[LINKING_CODE],1,FALSE)</f>
        <v>1310 Albertine Region Sustainable Development Project -113</v>
      </c>
      <c r="D106" s="18" t="s">
        <v>113</v>
      </c>
      <c r="E106" s="18" t="str">
        <f>VLOOKUP(MasterTable[[#This Row],[Vote]],'MTEF 21-22'!A:B,2,FALSE)</f>
        <v>Uganda National Roads Authority</v>
      </c>
      <c r="F106" s="18" t="str">
        <f>CONCATENATE(MasterTable[[#This Row],[Vote]]," ",MasterTable[[#This Row],[Vote Name]])</f>
        <v>113 Uganda National Roads Authority</v>
      </c>
      <c r="G106" t="s">
        <v>19</v>
      </c>
      <c r="H106" s="16">
        <v>41821</v>
      </c>
      <c r="I106" s="16">
        <v>44742</v>
      </c>
      <c r="J106" t="s">
        <v>20</v>
      </c>
      <c r="K106" t="s">
        <v>36</v>
      </c>
      <c r="L106" s="17">
        <v>62728701955</v>
      </c>
      <c r="M106" s="17">
        <v>0</v>
      </c>
      <c r="N106" s="17">
        <v>0</v>
      </c>
      <c r="O106" s="17"/>
      <c r="P106" s="17"/>
      <c r="Q106" s="17">
        <v>0</v>
      </c>
      <c r="R106" s="17">
        <v>0</v>
      </c>
      <c r="S106" s="17">
        <v>0</v>
      </c>
      <c r="T106" s="17">
        <v>0</v>
      </c>
      <c r="U106" s="17"/>
      <c r="V106" s="17"/>
      <c r="W106" s="17">
        <v>62728701955</v>
      </c>
      <c r="X106" s="17">
        <v>8885988329</v>
      </c>
    </row>
    <row r="107" spans="1:25" x14ac:dyDescent="0.25">
      <c r="A107" t="s">
        <v>383</v>
      </c>
      <c r="B107" s="18" t="s">
        <v>1295</v>
      </c>
      <c r="C107" s="18" t="str">
        <f>VLOOKUP(MasterTable[[#This Row],[Project Code and Name ]],PAProjects[LINKING_CODE],1,FALSE)</f>
        <v>1310 Albertine Region Sustainable Development Project -113</v>
      </c>
      <c r="D107" s="18" t="s">
        <v>113</v>
      </c>
      <c r="E107" s="18" t="str">
        <f>VLOOKUP(MasterTable[[#This Row],[Vote]],'MTEF 21-22'!A:B,2,FALSE)</f>
        <v>Uganda National Roads Authority</v>
      </c>
      <c r="F107" s="18" t="str">
        <f>CONCATENATE(MasterTable[[#This Row],[Vote]]," ",MasterTable[[#This Row],[Vote Name]])</f>
        <v>113 Uganda National Roads Authority</v>
      </c>
      <c r="G107" t="s">
        <v>25</v>
      </c>
      <c r="H107" s="16">
        <v>41821</v>
      </c>
      <c r="I107" s="16">
        <v>44742</v>
      </c>
      <c r="J107" t="s">
        <v>20</v>
      </c>
      <c r="K107" t="s">
        <v>36</v>
      </c>
      <c r="L107" s="17">
        <v>79873604750</v>
      </c>
      <c r="M107" s="17">
        <v>58952448000</v>
      </c>
      <c r="N107" s="17">
        <v>0</v>
      </c>
      <c r="O107" s="17"/>
      <c r="P107" s="17"/>
      <c r="Q107" s="17">
        <v>0</v>
      </c>
      <c r="R107" s="17">
        <v>0</v>
      </c>
      <c r="S107" s="17">
        <v>0</v>
      </c>
      <c r="T107" s="17">
        <v>0</v>
      </c>
      <c r="U107" s="17"/>
      <c r="V107" s="17"/>
      <c r="W107" s="17">
        <v>138826052750</v>
      </c>
      <c r="X107" s="17">
        <v>213263719902</v>
      </c>
    </row>
    <row r="108" spans="1:25" x14ac:dyDescent="0.25">
      <c r="A108" t="s">
        <v>383</v>
      </c>
      <c r="B108" t="s">
        <v>398</v>
      </c>
      <c r="C108" t="str">
        <f>VLOOKUP(MasterTable[[#This Row],[Project Code and Name ]],PAProjects[LINKING_CODE],1,FALSE)</f>
        <v>1311 Upgrading Rukungiri-Kihihi-Ishasha/Kanungu Road</v>
      </c>
      <c r="D108" t="s">
        <v>113</v>
      </c>
      <c r="E108" t="str">
        <f>VLOOKUP(MasterTable[[#This Row],[Vote]],'MTEF 21-22'!A:B,2,FALSE)</f>
        <v>Uganda National Roads Authority</v>
      </c>
      <c r="F108" t="str">
        <f>CONCATENATE(MasterTable[[#This Row],[Vote]]," ",MasterTable[[#This Row],[Vote Name]])</f>
        <v>113 Uganda National Roads Authority</v>
      </c>
      <c r="G108" t="s">
        <v>19</v>
      </c>
      <c r="H108" s="16">
        <v>41821</v>
      </c>
      <c r="I108" s="16">
        <v>44742</v>
      </c>
      <c r="J108" t="s">
        <v>20</v>
      </c>
      <c r="K108" t="s">
        <v>36</v>
      </c>
      <c r="L108" s="17">
        <v>2595543775</v>
      </c>
      <c r="M108" s="17">
        <v>6385000000</v>
      </c>
      <c r="N108" s="17">
        <v>0</v>
      </c>
      <c r="O108" s="17"/>
      <c r="P108" s="17">
        <v>7760000000</v>
      </c>
      <c r="Q108" s="17">
        <v>7760000000</v>
      </c>
      <c r="R108" s="17"/>
      <c r="S108" s="17">
        <v>0</v>
      </c>
      <c r="T108" s="17">
        <v>0</v>
      </c>
      <c r="U108" s="17"/>
      <c r="V108" s="17"/>
      <c r="W108" s="17">
        <v>16740543775</v>
      </c>
      <c r="X108" s="17">
        <v>48743188197</v>
      </c>
    </row>
    <row r="109" spans="1:25" x14ac:dyDescent="0.25">
      <c r="A109" t="s">
        <v>383</v>
      </c>
      <c r="B109" t="s">
        <v>398</v>
      </c>
      <c r="C109" t="str">
        <f>VLOOKUP(MasterTable[[#This Row],[Project Code and Name ]],PAProjects[LINKING_CODE],1,FALSE)</f>
        <v>1311 Upgrading Rukungiri-Kihihi-Ishasha/Kanungu Road</v>
      </c>
      <c r="D109" t="s">
        <v>113</v>
      </c>
      <c r="E109" t="str">
        <f>VLOOKUP(MasterTable[[#This Row],[Vote]],'MTEF 21-22'!A:B,2,FALSE)</f>
        <v>Uganda National Roads Authority</v>
      </c>
      <c r="F109" t="str">
        <f>CONCATENATE(MasterTable[[#This Row],[Vote]]," ",MasterTable[[#This Row],[Vote Name]])</f>
        <v>113 Uganda National Roads Authority</v>
      </c>
      <c r="G109" t="s">
        <v>25</v>
      </c>
      <c r="H109" s="16">
        <v>41821</v>
      </c>
      <c r="I109" s="16">
        <v>44742</v>
      </c>
      <c r="J109" s="1"/>
      <c r="K109" t="s">
        <v>36</v>
      </c>
      <c r="L109" s="17">
        <v>55973530506</v>
      </c>
      <c r="M109" s="17">
        <v>45469378350</v>
      </c>
      <c r="N109" s="17">
        <v>0</v>
      </c>
      <c r="O109" s="17"/>
      <c r="P109" s="17">
        <v>51750000000</v>
      </c>
      <c r="Q109" s="17">
        <v>51750000000</v>
      </c>
      <c r="R109" s="17"/>
      <c r="S109" s="17"/>
      <c r="T109" s="17"/>
      <c r="U109" s="17"/>
      <c r="V109" s="17"/>
      <c r="W109" s="17">
        <v>153192908856</v>
      </c>
      <c r="X109" s="17">
        <v>177010000000</v>
      </c>
    </row>
    <row r="110" spans="1:25" x14ac:dyDescent="0.25">
      <c r="A110" t="s">
        <v>383</v>
      </c>
      <c r="B110" t="s">
        <v>399</v>
      </c>
      <c r="C110" t="str">
        <f>VLOOKUP(MasterTable[[#This Row],[Project Code and Name ]],PAProjects[LINKING_CODE],1,FALSE)</f>
        <v>1312 Upgrading Mbale-Bubulo-Lwakhakha Road</v>
      </c>
      <c r="D110" t="s">
        <v>113</v>
      </c>
      <c r="E110" t="str">
        <f>VLOOKUP(MasterTable[[#This Row],[Vote]],'MTEF 21-22'!A:B,2,FALSE)</f>
        <v>Uganda National Roads Authority</v>
      </c>
      <c r="F110" t="str">
        <f>CONCATENATE(MasterTable[[#This Row],[Vote]]," ",MasterTable[[#This Row],[Vote Name]])</f>
        <v>113 Uganda National Roads Authority</v>
      </c>
      <c r="G110" t="s">
        <v>19</v>
      </c>
      <c r="H110" s="16">
        <v>41821</v>
      </c>
      <c r="I110" s="16">
        <v>44742</v>
      </c>
      <c r="J110" s="1"/>
      <c r="K110" t="s">
        <v>36</v>
      </c>
      <c r="L110" s="17">
        <v>17140483353</v>
      </c>
      <c r="M110" s="17">
        <v>1800000000</v>
      </c>
      <c r="N110" s="17">
        <v>0</v>
      </c>
      <c r="O110" s="17"/>
      <c r="P110" s="17"/>
      <c r="Q110" s="17">
        <v>0</v>
      </c>
      <c r="R110" s="17"/>
      <c r="S110" s="17"/>
      <c r="T110" s="17"/>
      <c r="U110" s="17"/>
      <c r="V110" s="17"/>
      <c r="W110" s="17">
        <v>18940483353</v>
      </c>
      <c r="X110" s="17">
        <v>26957278027</v>
      </c>
    </row>
    <row r="111" spans="1:25" x14ac:dyDescent="0.25">
      <c r="A111" t="s">
        <v>383</v>
      </c>
      <c r="B111" t="s">
        <v>399</v>
      </c>
      <c r="C111" t="str">
        <f>VLOOKUP(MasterTable[[#This Row],[Project Code and Name ]],PAProjects[LINKING_CODE],1,FALSE)</f>
        <v>1312 Upgrading Mbale-Bubulo-Lwakhakha Road</v>
      </c>
      <c r="D111" t="s">
        <v>113</v>
      </c>
      <c r="E111" t="str">
        <f>VLOOKUP(MasterTable[[#This Row],[Vote]],'MTEF 21-22'!A:B,2,FALSE)</f>
        <v>Uganda National Roads Authority</v>
      </c>
      <c r="F111" t="str">
        <f>CONCATENATE(MasterTable[[#This Row],[Vote]]," ",MasterTable[[#This Row],[Vote Name]])</f>
        <v>113 Uganda National Roads Authority</v>
      </c>
      <c r="G111" t="s">
        <v>25</v>
      </c>
      <c r="H111" s="16">
        <v>41821</v>
      </c>
      <c r="I111" s="16">
        <v>44377</v>
      </c>
      <c r="J111" t="s">
        <v>20</v>
      </c>
      <c r="K111" t="s">
        <v>36</v>
      </c>
      <c r="L111" s="17">
        <v>108065394088</v>
      </c>
      <c r="M111" s="17">
        <v>5350241700</v>
      </c>
      <c r="N111" s="17">
        <v>0</v>
      </c>
      <c r="O111" s="17"/>
      <c r="P111" s="17"/>
      <c r="Q111" s="17">
        <v>0</v>
      </c>
      <c r="R111" s="17">
        <v>0</v>
      </c>
      <c r="S111" s="17">
        <v>0</v>
      </c>
      <c r="T111" s="17">
        <v>0</v>
      </c>
      <c r="U111" s="17"/>
      <c r="V111" s="17"/>
      <c r="W111" s="17">
        <v>113415635788</v>
      </c>
      <c r="X111" s="17">
        <v>136830000000</v>
      </c>
    </row>
    <row r="112" spans="1:25" x14ac:dyDescent="0.25">
      <c r="A112" t="s">
        <v>383</v>
      </c>
      <c r="B112" t="s">
        <v>400</v>
      </c>
      <c r="C112" t="str">
        <f>VLOOKUP(MasterTable[[#This Row],[Project Code and Name ]],PAProjects[LINKING_CODE],1,FALSE)</f>
        <v>1313 North Eastern Road-Corridor Asset Management Project</v>
      </c>
      <c r="D112" t="s">
        <v>113</v>
      </c>
      <c r="E112" t="str">
        <f>VLOOKUP(MasterTable[[#This Row],[Vote]],'MTEF 21-22'!A:B,2,FALSE)</f>
        <v>Uganda National Roads Authority</v>
      </c>
      <c r="F112" t="str">
        <f>CONCATENATE(MasterTable[[#This Row],[Vote]]," ",MasterTable[[#This Row],[Vote Name]])</f>
        <v>113 Uganda National Roads Authority</v>
      </c>
      <c r="G112" t="s">
        <v>19</v>
      </c>
      <c r="H112" s="16">
        <v>41821</v>
      </c>
      <c r="I112" s="16">
        <v>45473</v>
      </c>
      <c r="J112" t="s">
        <v>20</v>
      </c>
      <c r="K112" t="s">
        <v>36</v>
      </c>
      <c r="L112" s="17">
        <v>132684902</v>
      </c>
      <c r="M112" s="17">
        <v>3273400000</v>
      </c>
      <c r="N112" s="17">
        <v>0</v>
      </c>
      <c r="O112" s="17"/>
      <c r="P112" s="17">
        <v>0</v>
      </c>
      <c r="Q112" s="17">
        <v>0</v>
      </c>
      <c r="R112" s="17">
        <v>0</v>
      </c>
      <c r="S112" s="17">
        <v>0</v>
      </c>
      <c r="T112" s="17">
        <v>0</v>
      </c>
      <c r="U112" s="17"/>
      <c r="V112" s="17"/>
      <c r="W112" s="17">
        <v>3406084902</v>
      </c>
      <c r="X112" s="17">
        <v>26437245869</v>
      </c>
    </row>
    <row r="113" spans="1:24" x14ac:dyDescent="0.25">
      <c r="A113" t="s">
        <v>383</v>
      </c>
      <c r="B113" t="s">
        <v>400</v>
      </c>
      <c r="C113" t="str">
        <f>VLOOKUP(MasterTable[[#This Row],[Project Code and Name ]],PAProjects[LINKING_CODE],1,FALSE)</f>
        <v>1313 North Eastern Road-Corridor Asset Management Project</v>
      </c>
      <c r="D113" t="s">
        <v>113</v>
      </c>
      <c r="E113" t="str">
        <f>VLOOKUP(MasterTable[[#This Row],[Vote]],'MTEF 21-22'!A:B,2,FALSE)</f>
        <v>Uganda National Roads Authority</v>
      </c>
      <c r="F113" t="str">
        <f>CONCATENATE(MasterTable[[#This Row],[Vote]]," ",MasterTable[[#This Row],[Vote Name]])</f>
        <v>113 Uganda National Roads Authority</v>
      </c>
      <c r="G113" t="s">
        <v>25</v>
      </c>
      <c r="H113" s="16">
        <v>41821</v>
      </c>
      <c r="I113" s="16">
        <v>45473</v>
      </c>
      <c r="J113" t="s">
        <v>20</v>
      </c>
      <c r="K113" t="s">
        <v>36</v>
      </c>
      <c r="L113" s="17">
        <v>47763964674</v>
      </c>
      <c r="M113" s="17">
        <v>74055174750</v>
      </c>
      <c r="N113" s="17">
        <v>0</v>
      </c>
      <c r="O113" s="17"/>
      <c r="P113" s="17">
        <v>165280000000</v>
      </c>
      <c r="Q113" s="17">
        <v>165280000000</v>
      </c>
      <c r="R113" s="17">
        <v>162560000000</v>
      </c>
      <c r="S113" s="17">
        <v>92850000000</v>
      </c>
      <c r="T113" s="17">
        <v>0</v>
      </c>
      <c r="U113" s="17"/>
      <c r="V113" s="17"/>
      <c r="W113" s="17">
        <v>542509139424</v>
      </c>
      <c r="X113" s="17">
        <v>634493900859</v>
      </c>
    </row>
    <row r="114" spans="1:24" x14ac:dyDescent="0.25">
      <c r="A114" t="s">
        <v>383</v>
      </c>
      <c r="B114" t="s">
        <v>401</v>
      </c>
      <c r="C114" t="str">
        <f>VLOOKUP(MasterTable[[#This Row],[Project Code and Name ]],PAProjects[LINKING_CODE],1,FALSE)</f>
        <v>1319 Kampala Flyover</v>
      </c>
      <c r="D114" t="s">
        <v>113</v>
      </c>
      <c r="E114" t="str">
        <f>VLOOKUP(MasterTable[[#This Row],[Vote]],'MTEF 21-22'!A:B,2,FALSE)</f>
        <v>Uganda National Roads Authority</v>
      </c>
      <c r="F114" t="str">
        <f>CONCATENATE(MasterTable[[#This Row],[Vote]]," ",MasterTable[[#This Row],[Vote Name]])</f>
        <v>113 Uganda National Roads Authority</v>
      </c>
      <c r="G114" t="s">
        <v>19</v>
      </c>
      <c r="H114" s="16">
        <v>42186</v>
      </c>
      <c r="I114" s="16">
        <v>45656</v>
      </c>
      <c r="J114" t="s">
        <v>20</v>
      </c>
      <c r="K114" t="s">
        <v>36</v>
      </c>
      <c r="L114" s="17">
        <v>11415168262</v>
      </c>
      <c r="M114" s="17">
        <v>4372589000</v>
      </c>
      <c r="N114" s="17">
        <v>4259223380</v>
      </c>
      <c r="O114" s="17"/>
      <c r="P114" s="17">
        <v>57030000000</v>
      </c>
      <c r="Q114" s="17">
        <v>61289223380</v>
      </c>
      <c r="R114" s="17">
        <v>57030000000</v>
      </c>
      <c r="S114" s="17">
        <v>5703000000</v>
      </c>
      <c r="T114" s="17">
        <v>0</v>
      </c>
      <c r="U114" s="17"/>
      <c r="V114" s="17"/>
      <c r="W114" s="17">
        <v>139809980642</v>
      </c>
      <c r="X114" s="17"/>
    </row>
    <row r="115" spans="1:24" x14ac:dyDescent="0.25">
      <c r="A115" t="s">
        <v>383</v>
      </c>
      <c r="B115" t="s">
        <v>401</v>
      </c>
      <c r="C115" t="str">
        <f>VLOOKUP(MasterTable[[#This Row],[Project Code and Name ]],PAProjects[LINKING_CODE],1,FALSE)</f>
        <v>1319 Kampala Flyover</v>
      </c>
      <c r="D115" t="s">
        <v>113</v>
      </c>
      <c r="E115" t="str">
        <f>VLOOKUP(MasterTable[[#This Row],[Vote]],'MTEF 21-22'!A:B,2,FALSE)</f>
        <v>Uganda National Roads Authority</v>
      </c>
      <c r="F115" t="str">
        <f>CONCATENATE(MasterTable[[#This Row],[Vote]]," ",MasterTable[[#This Row],[Vote Name]])</f>
        <v>113 Uganda National Roads Authority</v>
      </c>
      <c r="G115" t="s">
        <v>25</v>
      </c>
      <c r="H115" s="16">
        <v>42186</v>
      </c>
      <c r="I115" s="16">
        <v>45656</v>
      </c>
      <c r="J115" t="s">
        <v>20</v>
      </c>
      <c r="K115" t="s">
        <v>36</v>
      </c>
      <c r="L115" s="17">
        <v>67367325601</v>
      </c>
      <c r="M115" s="17">
        <v>54308407500</v>
      </c>
      <c r="N115" s="17">
        <v>0</v>
      </c>
      <c r="O115" s="17"/>
      <c r="P115" s="17">
        <v>187100000000</v>
      </c>
      <c r="Q115" s="17">
        <v>187100000000</v>
      </c>
      <c r="R115" s="17">
        <v>337120000000</v>
      </c>
      <c r="S115" s="17">
        <v>399600000000</v>
      </c>
      <c r="T115" s="17">
        <v>0</v>
      </c>
      <c r="U115" s="17"/>
      <c r="V115" s="17"/>
      <c r="W115" s="17">
        <v>1045495733101</v>
      </c>
      <c r="X115" s="17"/>
    </row>
    <row r="116" spans="1:24" x14ac:dyDescent="0.25">
      <c r="A116" t="s">
        <v>383</v>
      </c>
      <c r="B116" t="s">
        <v>402</v>
      </c>
      <c r="C116" t="str">
        <f>VLOOKUP(MasterTable[[#This Row],[Project Code and Name ]],PAProjects[LINKING_CODE],1,FALSE)</f>
        <v>1320  Construction of 66 Selected Bridges</v>
      </c>
      <c r="D116" t="s">
        <v>113</v>
      </c>
      <c r="E116" t="str">
        <f>VLOOKUP(MasterTable[[#This Row],[Vote]],'MTEF 21-22'!A:B,2,FALSE)</f>
        <v>Uganda National Roads Authority</v>
      </c>
      <c r="F116" t="str">
        <f>CONCATENATE(MasterTable[[#This Row],[Vote]]," ",MasterTable[[#This Row],[Vote Name]])</f>
        <v>113 Uganda National Roads Authority</v>
      </c>
      <c r="G116" t="s">
        <v>19</v>
      </c>
      <c r="H116" s="16">
        <v>42186</v>
      </c>
      <c r="I116" s="16">
        <v>45107</v>
      </c>
      <c r="J116" t="s">
        <v>20</v>
      </c>
      <c r="K116" t="s">
        <v>36</v>
      </c>
      <c r="L116" s="17">
        <v>176601291038</v>
      </c>
      <c r="M116" s="17">
        <v>56850000000</v>
      </c>
      <c r="N116" s="17">
        <v>29626560801</v>
      </c>
      <c r="O116" s="17"/>
      <c r="P116" s="17">
        <v>173935000000</v>
      </c>
      <c r="Q116" s="17">
        <v>203561560801</v>
      </c>
      <c r="R116" s="17">
        <v>124545050000</v>
      </c>
      <c r="S116" s="17"/>
      <c r="T116" s="17"/>
      <c r="U116" s="17"/>
      <c r="V116" s="17"/>
      <c r="W116" s="17">
        <v>561557901839</v>
      </c>
      <c r="X116" s="17">
        <v>316459278948</v>
      </c>
    </row>
    <row r="117" spans="1:24" x14ac:dyDescent="0.25">
      <c r="A117" t="s">
        <v>383</v>
      </c>
      <c r="B117" t="s">
        <v>403</v>
      </c>
      <c r="C117" t="str">
        <f>VLOOKUP(MasterTable[[#This Row],[Project Code and Name ]],PAProjects[LINKING_CODE],1,FALSE)</f>
        <v>1322 Upgrading of Muyembe-Nakapiripirit (92 km)</v>
      </c>
      <c r="D117" t="s">
        <v>113</v>
      </c>
      <c r="E117" t="str">
        <f>VLOOKUP(MasterTable[[#This Row],[Vote]],'MTEF 21-22'!A:B,2,FALSE)</f>
        <v>Uganda National Roads Authority</v>
      </c>
      <c r="F117" t="str">
        <f>CONCATENATE(MasterTable[[#This Row],[Vote]]," ",MasterTable[[#This Row],[Vote Name]])</f>
        <v>113 Uganda National Roads Authority</v>
      </c>
      <c r="G117" t="s">
        <v>19</v>
      </c>
      <c r="H117" s="16">
        <v>42186</v>
      </c>
      <c r="I117" s="16">
        <v>45473</v>
      </c>
      <c r="J117" t="s">
        <v>20</v>
      </c>
      <c r="K117" t="s">
        <v>36</v>
      </c>
      <c r="L117" s="17">
        <v>0</v>
      </c>
      <c r="M117" s="17">
        <v>200000000</v>
      </c>
      <c r="N117" s="17">
        <v>0</v>
      </c>
      <c r="O117" s="17"/>
      <c r="P117" s="17">
        <v>100000000</v>
      </c>
      <c r="Q117" s="17">
        <v>100000000</v>
      </c>
      <c r="R117" s="17">
        <v>20000000</v>
      </c>
      <c r="S117" s="17"/>
      <c r="T117" s="17">
        <v>0</v>
      </c>
      <c r="U117" s="17"/>
      <c r="V117" s="17"/>
      <c r="W117" s="17">
        <v>320000000</v>
      </c>
      <c r="X117" s="17">
        <v>0</v>
      </c>
    </row>
    <row r="118" spans="1:24" x14ac:dyDescent="0.25">
      <c r="A118" t="s">
        <v>383</v>
      </c>
      <c r="B118" t="s">
        <v>403</v>
      </c>
      <c r="C118" t="str">
        <f>VLOOKUP(MasterTable[[#This Row],[Project Code and Name ]],PAProjects[LINKING_CODE],1,FALSE)</f>
        <v>1322 Upgrading of Muyembe-Nakapiripirit (92 km)</v>
      </c>
      <c r="D118" t="s">
        <v>113</v>
      </c>
      <c r="E118" t="str">
        <f>VLOOKUP(MasterTable[[#This Row],[Vote]],'MTEF 21-22'!A:B,2,FALSE)</f>
        <v>Uganda National Roads Authority</v>
      </c>
      <c r="F118" t="str">
        <f>CONCATENATE(MasterTable[[#This Row],[Vote]]," ",MasterTable[[#This Row],[Vote Name]])</f>
        <v>113 Uganda National Roads Authority</v>
      </c>
      <c r="G118" t="s">
        <v>25</v>
      </c>
      <c r="H118" s="16">
        <v>42186</v>
      </c>
      <c r="I118" s="16">
        <v>45473</v>
      </c>
      <c r="J118" t="s">
        <v>20</v>
      </c>
      <c r="K118" t="s">
        <v>36</v>
      </c>
      <c r="L118" s="17">
        <v>60031101329</v>
      </c>
      <c r="M118" s="17">
        <v>84820905000</v>
      </c>
      <c r="N118" s="17">
        <v>0</v>
      </c>
      <c r="O118" s="17"/>
      <c r="P118" s="17">
        <v>90000000000</v>
      </c>
      <c r="Q118" s="17">
        <v>90000000000</v>
      </c>
      <c r="R118" s="17">
        <v>45000000000</v>
      </c>
      <c r="S118" s="17">
        <v>0</v>
      </c>
      <c r="T118" s="17">
        <v>0</v>
      </c>
      <c r="U118" s="17"/>
      <c r="V118" s="17"/>
      <c r="W118" s="17">
        <v>279852006329</v>
      </c>
      <c r="X118" s="17">
        <v>411992962010</v>
      </c>
    </row>
    <row r="119" spans="1:24" x14ac:dyDescent="0.25">
      <c r="A119" t="s">
        <v>383</v>
      </c>
      <c r="B119" t="s">
        <v>404</v>
      </c>
      <c r="C119" t="str">
        <f>VLOOKUP(MasterTable[[#This Row],[Project Code and Name ]],PAProjects[LINKING_CODE],1,FALSE)</f>
        <v>1402 Rwenkunye- Apac- Lira-Acholibur road</v>
      </c>
      <c r="D119" t="s">
        <v>113</v>
      </c>
      <c r="E119" t="str">
        <f>VLOOKUP(MasterTable[[#This Row],[Vote]],'MTEF 21-22'!A:B,2,FALSE)</f>
        <v>Uganda National Roads Authority</v>
      </c>
      <c r="F119" t="str">
        <f>CONCATENATE(MasterTable[[#This Row],[Vote]]," ",MasterTable[[#This Row],[Vote Name]])</f>
        <v>113 Uganda National Roads Authority</v>
      </c>
      <c r="G119" t="s">
        <v>19</v>
      </c>
      <c r="H119" s="16">
        <v>42552</v>
      </c>
      <c r="I119" s="16">
        <v>46021</v>
      </c>
      <c r="J119" t="s">
        <v>20</v>
      </c>
      <c r="K119" t="s">
        <v>36</v>
      </c>
      <c r="L119" s="17">
        <v>0</v>
      </c>
      <c r="M119" s="17">
        <v>6000000000</v>
      </c>
      <c r="N119" s="17">
        <v>0</v>
      </c>
      <c r="O119" s="17"/>
      <c r="P119" s="17">
        <v>250000000</v>
      </c>
      <c r="Q119" s="17">
        <v>250000000</v>
      </c>
      <c r="R119" s="17">
        <v>0</v>
      </c>
      <c r="S119" s="17">
        <v>0</v>
      </c>
      <c r="T119" s="17">
        <v>0</v>
      </c>
      <c r="U119" s="17"/>
      <c r="V119" s="17"/>
      <c r="W119" s="17">
        <v>6250000000</v>
      </c>
      <c r="X119" s="17"/>
    </row>
    <row r="120" spans="1:24" x14ac:dyDescent="0.25">
      <c r="A120" t="s">
        <v>383</v>
      </c>
      <c r="B120" t="s">
        <v>404</v>
      </c>
      <c r="C120" t="str">
        <f>VLOOKUP(MasterTable[[#This Row],[Project Code and Name ]],PAProjects[LINKING_CODE],1,FALSE)</f>
        <v>1402 Rwenkunye- Apac- Lira-Acholibur road</v>
      </c>
      <c r="D120" t="s">
        <v>113</v>
      </c>
      <c r="E120" t="str">
        <f>VLOOKUP(MasterTable[[#This Row],[Vote]],'MTEF 21-22'!A:B,2,FALSE)</f>
        <v>Uganda National Roads Authority</v>
      </c>
      <c r="F120" t="str">
        <f>CONCATENATE(MasterTable[[#This Row],[Vote]]," ",MasterTable[[#This Row],[Vote Name]])</f>
        <v>113 Uganda National Roads Authority</v>
      </c>
      <c r="G120" t="s">
        <v>25</v>
      </c>
      <c r="H120" s="16">
        <v>42552</v>
      </c>
      <c r="I120" s="16">
        <v>46021</v>
      </c>
      <c r="J120" t="s">
        <v>20</v>
      </c>
      <c r="K120" t="s">
        <v>36</v>
      </c>
      <c r="L120" s="17">
        <v>63934359510</v>
      </c>
      <c r="M120" s="17">
        <v>112071060000</v>
      </c>
      <c r="N120" s="17">
        <v>0</v>
      </c>
      <c r="O120" s="17"/>
      <c r="P120" s="17"/>
      <c r="Q120" s="17">
        <v>0</v>
      </c>
      <c r="R120" s="17">
        <v>0</v>
      </c>
      <c r="S120" s="17">
        <v>0</v>
      </c>
      <c r="T120" s="17">
        <v>0</v>
      </c>
      <c r="U120" s="17"/>
      <c r="V120" s="17"/>
      <c r="W120" s="17">
        <v>176005419510</v>
      </c>
      <c r="X120" s="17"/>
    </row>
    <row r="121" spans="1:24" x14ac:dyDescent="0.25">
      <c r="A121" t="s">
        <v>383</v>
      </c>
      <c r="B121" t="s">
        <v>405</v>
      </c>
      <c r="C121" t="str">
        <f>VLOOKUP(MasterTable[[#This Row],[Project Code and Name ]],PAProjects[LINKING_CODE],1,FALSE)</f>
        <v>1403 Soroti-Katakwi-Moroto-Lokitonyala road</v>
      </c>
      <c r="D121" t="s">
        <v>113</v>
      </c>
      <c r="E121" t="str">
        <f>VLOOKUP(MasterTable[[#This Row],[Vote]],'MTEF 21-22'!A:B,2,FALSE)</f>
        <v>Uganda National Roads Authority</v>
      </c>
      <c r="F121" t="str">
        <f>CONCATENATE(MasterTable[[#This Row],[Vote]]," ",MasterTable[[#This Row],[Vote Name]])</f>
        <v>113 Uganda National Roads Authority</v>
      </c>
      <c r="G121" t="s">
        <v>19</v>
      </c>
      <c r="H121" s="16">
        <v>42552</v>
      </c>
      <c r="I121" s="16">
        <v>45656</v>
      </c>
      <c r="J121" t="s">
        <v>20</v>
      </c>
      <c r="K121" t="s">
        <v>36</v>
      </c>
      <c r="L121" s="17">
        <v>216721106005</v>
      </c>
      <c r="M121" s="17">
        <v>44300000000</v>
      </c>
      <c r="N121" s="17">
        <v>43014777643</v>
      </c>
      <c r="O121" s="17"/>
      <c r="P121" s="17">
        <v>20000000000</v>
      </c>
      <c r="Q121" s="17">
        <v>63014777643</v>
      </c>
      <c r="R121" s="17">
        <v>0</v>
      </c>
      <c r="S121" s="17">
        <v>0</v>
      </c>
      <c r="T121" s="17">
        <v>0</v>
      </c>
      <c r="U121" s="17"/>
      <c r="V121" s="17"/>
      <c r="W121" s="17">
        <v>324035883648</v>
      </c>
      <c r="X121" s="17">
        <v>725156898061</v>
      </c>
    </row>
    <row r="122" spans="1:24" x14ac:dyDescent="0.25">
      <c r="A122" t="s">
        <v>383</v>
      </c>
      <c r="B122" t="s">
        <v>406</v>
      </c>
      <c r="C122" t="str">
        <f>VLOOKUP(MasterTable[[#This Row],[Project Code and Name ]],PAProjects[LINKING_CODE],1,FALSE)</f>
        <v>1404 Kibuye- Busega- Mpigi</v>
      </c>
      <c r="D122" t="s">
        <v>113</v>
      </c>
      <c r="E122" t="str">
        <f>VLOOKUP(MasterTable[[#This Row],[Vote]],'MTEF 21-22'!A:B,2,FALSE)</f>
        <v>Uganda National Roads Authority</v>
      </c>
      <c r="F122" t="str">
        <f>CONCATENATE(MasterTable[[#This Row],[Vote]]," ",MasterTable[[#This Row],[Vote Name]])</f>
        <v>113 Uganda National Roads Authority</v>
      </c>
      <c r="G122" t="s">
        <v>19</v>
      </c>
      <c r="H122" s="16">
        <v>42552</v>
      </c>
      <c r="I122" s="16">
        <v>45290</v>
      </c>
      <c r="J122" t="s">
        <v>20</v>
      </c>
      <c r="K122" t="s">
        <v>36</v>
      </c>
      <c r="L122" s="17">
        <v>152189120</v>
      </c>
      <c r="M122" s="17">
        <v>2400162000</v>
      </c>
      <c r="N122" s="17">
        <v>0</v>
      </c>
      <c r="O122" s="17"/>
      <c r="P122" s="17">
        <v>811089750</v>
      </c>
      <c r="Q122" s="17">
        <v>811089750</v>
      </c>
      <c r="R122" s="17">
        <v>0</v>
      </c>
      <c r="S122" s="17">
        <v>0</v>
      </c>
      <c r="T122" s="17">
        <v>0</v>
      </c>
      <c r="U122" s="17"/>
      <c r="V122" s="17"/>
      <c r="W122" s="17">
        <v>3363440870</v>
      </c>
      <c r="X122" s="17"/>
    </row>
    <row r="123" spans="1:24" x14ac:dyDescent="0.25">
      <c r="A123" t="s">
        <v>383</v>
      </c>
      <c r="B123" t="s">
        <v>406</v>
      </c>
      <c r="C123" t="str">
        <f>VLOOKUP(MasterTable[[#This Row],[Project Code and Name ]],PAProjects[LINKING_CODE],1,FALSE)</f>
        <v>1404 Kibuye- Busega- Mpigi</v>
      </c>
      <c r="D123" t="s">
        <v>113</v>
      </c>
      <c r="E123" t="str">
        <f>VLOOKUP(MasterTable[[#This Row],[Vote]],'MTEF 21-22'!A:B,2,FALSE)</f>
        <v>Uganda National Roads Authority</v>
      </c>
      <c r="F123" t="str">
        <f>CONCATENATE(MasterTable[[#This Row],[Vote]]," ",MasterTable[[#This Row],[Vote Name]])</f>
        <v>113 Uganda National Roads Authority</v>
      </c>
      <c r="G123" t="s">
        <v>25</v>
      </c>
      <c r="H123" s="16">
        <v>42552</v>
      </c>
      <c r="I123" s="16">
        <v>45290</v>
      </c>
      <c r="J123" t="s">
        <v>20</v>
      </c>
      <c r="K123" t="s">
        <v>36</v>
      </c>
      <c r="L123" s="17">
        <v>87779853986</v>
      </c>
      <c r="M123" s="17">
        <v>67626441000</v>
      </c>
      <c r="N123" s="17">
        <v>0</v>
      </c>
      <c r="O123" s="17"/>
      <c r="P123" s="17">
        <v>113776000000</v>
      </c>
      <c r="Q123" s="17">
        <v>113776000000</v>
      </c>
      <c r="R123" s="17">
        <v>284440000000</v>
      </c>
      <c r="S123" s="17">
        <v>0</v>
      </c>
      <c r="T123" s="17">
        <v>0</v>
      </c>
      <c r="U123" s="17"/>
      <c r="V123" s="17"/>
      <c r="W123" s="17">
        <v>553622294986</v>
      </c>
      <c r="X123" s="17">
        <v>563529952124</v>
      </c>
    </row>
    <row r="124" spans="1:24" x14ac:dyDescent="0.25">
      <c r="A124" t="s">
        <v>383</v>
      </c>
      <c r="B124" t="s">
        <v>407</v>
      </c>
      <c r="C124" t="str">
        <f>VLOOKUP(MasterTable[[#This Row],[Project Code and Name ]],PAProjects[LINKING_CODE],1,FALSE)</f>
        <v>1490 Luwero- Butalangu</v>
      </c>
      <c r="D124" t="s">
        <v>113</v>
      </c>
      <c r="E124" t="str">
        <f>VLOOKUP(MasterTable[[#This Row],[Vote]],'MTEF 21-22'!A:B,2,FALSE)</f>
        <v>Uganda National Roads Authority</v>
      </c>
      <c r="F124" t="str">
        <f>CONCATENATE(MasterTable[[#This Row],[Vote]]," ",MasterTable[[#This Row],[Vote Name]])</f>
        <v>113 Uganda National Roads Authority</v>
      </c>
      <c r="G124" t="s">
        <v>19</v>
      </c>
      <c r="H124" s="16">
        <v>42917</v>
      </c>
      <c r="I124" s="16">
        <v>44742</v>
      </c>
      <c r="J124" t="s">
        <v>40</v>
      </c>
      <c r="K124" t="s">
        <v>36</v>
      </c>
      <c r="L124" s="17">
        <v>0</v>
      </c>
      <c r="M124" s="17">
        <v>0</v>
      </c>
      <c r="N124" s="17">
        <v>0</v>
      </c>
      <c r="O124" s="17"/>
      <c r="P124" s="17">
        <v>100000000</v>
      </c>
      <c r="Q124" s="17">
        <v>100000000</v>
      </c>
      <c r="R124" s="17"/>
      <c r="S124" s="17">
        <v>0</v>
      </c>
      <c r="T124" s="17">
        <v>0</v>
      </c>
      <c r="U124" s="17"/>
      <c r="V124" s="17"/>
      <c r="W124" s="17">
        <v>100000000</v>
      </c>
      <c r="X124" s="17"/>
    </row>
    <row r="125" spans="1:24" x14ac:dyDescent="0.25">
      <c r="A125" t="s">
        <v>383</v>
      </c>
      <c r="B125" t="s">
        <v>407</v>
      </c>
      <c r="C125" t="str">
        <f>VLOOKUP(MasterTable[[#This Row],[Project Code and Name ]],PAProjects[LINKING_CODE],1,FALSE)</f>
        <v>1490 Luwero- Butalangu</v>
      </c>
      <c r="D125" t="s">
        <v>113</v>
      </c>
      <c r="E125" t="str">
        <f>VLOOKUP(MasterTable[[#This Row],[Vote]],'MTEF 21-22'!A:B,2,FALSE)</f>
        <v>Uganda National Roads Authority</v>
      </c>
      <c r="F125" t="str">
        <f>CONCATENATE(MasterTable[[#This Row],[Vote]]," ",MasterTable[[#This Row],[Vote Name]])</f>
        <v>113 Uganda National Roads Authority</v>
      </c>
      <c r="G125" t="s">
        <v>25</v>
      </c>
      <c r="H125" s="16">
        <v>42917</v>
      </c>
      <c r="I125" s="16">
        <v>44742</v>
      </c>
      <c r="J125" t="s">
        <v>40</v>
      </c>
      <c r="K125" t="s">
        <v>36</v>
      </c>
      <c r="L125" s="17">
        <v>95912000</v>
      </c>
      <c r="M125" s="17">
        <v>24682499550</v>
      </c>
      <c r="N125" s="17">
        <v>0</v>
      </c>
      <c r="O125" s="17"/>
      <c r="P125" s="17">
        <v>37764235000</v>
      </c>
      <c r="Q125" s="17">
        <v>37764235000</v>
      </c>
      <c r="R125" s="17"/>
      <c r="S125" s="17">
        <v>0</v>
      </c>
      <c r="T125" s="17">
        <v>0</v>
      </c>
      <c r="U125" s="17"/>
      <c r="V125" s="17"/>
      <c r="W125" s="17">
        <v>62542646550</v>
      </c>
      <c r="X125" s="17"/>
    </row>
    <row r="126" spans="1:24" x14ac:dyDescent="0.25">
      <c r="A126" t="s">
        <v>383</v>
      </c>
      <c r="B126" s="18" t="s">
        <v>408</v>
      </c>
      <c r="C126" t="e">
        <f>VLOOKUP(MasterTable[[#This Row],[Project Code and Name ]],PAProjects[LINKING_CODE],1,FALSE)</f>
        <v>#N/A</v>
      </c>
      <c r="D126" s="86" t="s">
        <v>113</v>
      </c>
      <c r="E126" t="str">
        <f>VLOOKUP(MasterTable[[#This Row],[Vote]],'MTEF 21-22'!A:B,2,FALSE)</f>
        <v>Uganda National Roads Authority</v>
      </c>
      <c r="F126" t="str">
        <f>CONCATENATE(MasterTable[[#This Row],[Vote]]," ",MasterTable[[#This Row],[Vote Name]])</f>
        <v>113 Uganda National Roads Authority</v>
      </c>
      <c r="G126" t="s">
        <v>19</v>
      </c>
      <c r="H126" s="16">
        <v>43282</v>
      </c>
      <c r="I126" s="16">
        <v>44742</v>
      </c>
      <c r="J126" t="s">
        <v>20</v>
      </c>
      <c r="K126" t="s">
        <v>36</v>
      </c>
      <c r="L126" s="17">
        <v>1220023337230</v>
      </c>
      <c r="M126" s="17">
        <v>436188970000</v>
      </c>
      <c r="N126" s="17">
        <v>0</v>
      </c>
      <c r="O126" s="17"/>
      <c r="P126" s="17">
        <v>513680000000</v>
      </c>
      <c r="Q126" s="17">
        <v>513680000000</v>
      </c>
      <c r="R126" s="17"/>
      <c r="S126" s="17"/>
      <c r="T126" s="17"/>
      <c r="U126" s="17"/>
      <c r="V126" s="17"/>
      <c r="W126" s="17">
        <v>2169892307230</v>
      </c>
      <c r="X126" s="17"/>
    </row>
    <row r="127" spans="1:24" x14ac:dyDescent="0.25">
      <c r="A127" t="s">
        <v>383</v>
      </c>
      <c r="B127" t="s">
        <v>409</v>
      </c>
      <c r="C127" t="str">
        <f>VLOOKUP(MasterTable[[#This Row],[Project Code and Name ]],PAProjects[LINKING_CODE],1,FALSE)</f>
        <v>1536 Upgrading of Kitala-Gerenge Road</v>
      </c>
      <c r="D127" t="s">
        <v>113</v>
      </c>
      <c r="E127" t="str">
        <f>VLOOKUP(MasterTable[[#This Row],[Vote]],'MTEF 21-22'!A:B,2,FALSE)</f>
        <v>Uganda National Roads Authority</v>
      </c>
      <c r="F127" t="str">
        <f>CONCATENATE(MasterTable[[#This Row],[Vote]]," ",MasterTable[[#This Row],[Vote Name]])</f>
        <v>113 Uganda National Roads Authority</v>
      </c>
      <c r="G127" t="s">
        <v>19</v>
      </c>
      <c r="H127" s="16">
        <v>43647</v>
      </c>
      <c r="I127" s="16">
        <v>45107</v>
      </c>
      <c r="J127" t="s">
        <v>20</v>
      </c>
      <c r="K127" t="s">
        <v>36</v>
      </c>
      <c r="L127" s="17">
        <v>15116715132</v>
      </c>
      <c r="M127" s="17">
        <v>14000000000</v>
      </c>
      <c r="N127" s="17">
        <v>10455258122</v>
      </c>
      <c r="O127" s="17"/>
      <c r="P127" s="17"/>
      <c r="Q127" s="17">
        <v>10455258122</v>
      </c>
      <c r="R127" s="17">
        <v>0</v>
      </c>
      <c r="S127" s="17">
        <v>0</v>
      </c>
      <c r="T127" s="17">
        <v>0</v>
      </c>
      <c r="U127" s="17"/>
      <c r="V127" s="17"/>
      <c r="W127" s="17">
        <v>39571973254</v>
      </c>
      <c r="X127" s="17">
        <v>21450000000</v>
      </c>
    </row>
    <row r="128" spans="1:24" x14ac:dyDescent="0.25">
      <c r="A128" t="s">
        <v>383</v>
      </c>
      <c r="B128" t="s">
        <v>410</v>
      </c>
      <c r="C128" t="str">
        <f>VLOOKUP(MasterTable[[#This Row],[Project Code and Name ]],PAProjects[LINKING_CODE],1,FALSE)</f>
        <v>1537 Upgrading of Kaya-Yei Road</v>
      </c>
      <c r="D128" t="s">
        <v>113</v>
      </c>
      <c r="E128" t="str">
        <f>VLOOKUP(MasterTable[[#This Row],[Vote]],'MTEF 21-22'!A:B,2,FALSE)</f>
        <v>Uganda National Roads Authority</v>
      </c>
      <c r="F128" t="str">
        <f>CONCATENATE(MasterTable[[#This Row],[Vote]]," ",MasterTable[[#This Row],[Vote Name]])</f>
        <v>113 Uganda National Roads Authority</v>
      </c>
      <c r="G128" t="s">
        <v>19</v>
      </c>
      <c r="H128" s="16">
        <v>43647</v>
      </c>
      <c r="I128" s="16">
        <v>45473</v>
      </c>
      <c r="J128" t="s">
        <v>20</v>
      </c>
      <c r="K128" t="s">
        <v>36</v>
      </c>
      <c r="L128" s="17">
        <v>4186582565</v>
      </c>
      <c r="M128" s="17">
        <v>1000000000</v>
      </c>
      <c r="N128" s="17">
        <v>0</v>
      </c>
      <c r="O128" s="17"/>
      <c r="P128" s="17">
        <v>18000000000</v>
      </c>
      <c r="Q128" s="17">
        <v>18000000000</v>
      </c>
      <c r="R128" s="17">
        <v>19759600000</v>
      </c>
      <c r="S128" s="17">
        <v>1987700000</v>
      </c>
      <c r="T128" s="17">
        <v>0</v>
      </c>
      <c r="U128" s="17"/>
      <c r="V128" s="17"/>
      <c r="W128" s="17">
        <v>44933882565</v>
      </c>
      <c r="X128" s="17"/>
    </row>
    <row r="129" spans="1:24" x14ac:dyDescent="0.25">
      <c r="A129" t="s">
        <v>383</v>
      </c>
      <c r="B129" t="s">
        <v>411</v>
      </c>
      <c r="C129" t="str">
        <f>VLOOKUP(MasterTable[[#This Row],[Project Code and Name ]],PAProjects[LINKING_CODE],1,FALSE)</f>
        <v>1543 Kihihi-Butogota-Bohoma Road</v>
      </c>
      <c r="D129" t="s">
        <v>113</v>
      </c>
      <c r="E129" t="str">
        <f>VLOOKUP(MasterTable[[#This Row],[Vote]],'MTEF 21-22'!A:B,2,FALSE)</f>
        <v>Uganda National Roads Authority</v>
      </c>
      <c r="F129" t="str">
        <f>CONCATENATE(MasterTable[[#This Row],[Vote]]," ",MasterTable[[#This Row],[Vote Name]])</f>
        <v>113 Uganda National Roads Authority</v>
      </c>
      <c r="G129" t="s">
        <v>19</v>
      </c>
      <c r="H129" s="16">
        <v>43472</v>
      </c>
      <c r="I129" s="16">
        <v>45107</v>
      </c>
      <c r="J129" s="1"/>
      <c r="K129" t="s">
        <v>36</v>
      </c>
      <c r="L129" s="17">
        <v>0</v>
      </c>
      <c r="M129" s="17">
        <v>44400000000</v>
      </c>
      <c r="N129" s="17">
        <v>0</v>
      </c>
      <c r="O129" s="17"/>
      <c r="P129" s="17"/>
      <c r="Q129" s="17">
        <v>0</v>
      </c>
      <c r="R129" s="17">
        <v>0</v>
      </c>
      <c r="S129" s="17">
        <v>0</v>
      </c>
      <c r="T129" s="17"/>
      <c r="U129" s="17"/>
      <c r="V129" s="17"/>
      <c r="W129" s="17">
        <v>44400000000</v>
      </c>
      <c r="X129" s="17"/>
    </row>
    <row r="130" spans="1:24" x14ac:dyDescent="0.25">
      <c r="A130" t="s">
        <v>383</v>
      </c>
      <c r="B130" t="s">
        <v>411</v>
      </c>
      <c r="C130" t="str">
        <f>VLOOKUP(MasterTable[[#This Row],[Project Code and Name ]],PAProjects[LINKING_CODE],1,FALSE)</f>
        <v>1543 Kihihi-Butogota-Bohoma Road</v>
      </c>
      <c r="D130" t="s">
        <v>113</v>
      </c>
      <c r="E130" t="str">
        <f>VLOOKUP(MasterTable[[#This Row],[Vote]],'MTEF 21-22'!A:B,2,FALSE)</f>
        <v>Uganda National Roads Authority</v>
      </c>
      <c r="F130" t="str">
        <f>CONCATENATE(MasterTable[[#This Row],[Vote]]," ",MasterTable[[#This Row],[Vote Name]])</f>
        <v>113 Uganda National Roads Authority</v>
      </c>
      <c r="G130" t="s">
        <v>25</v>
      </c>
      <c r="H130" s="16">
        <v>43472</v>
      </c>
      <c r="I130" s="16">
        <v>45107</v>
      </c>
      <c r="J130" s="1"/>
      <c r="K130" t="s">
        <v>36</v>
      </c>
      <c r="L130" s="17">
        <v>0</v>
      </c>
      <c r="M130" s="17">
        <v>0</v>
      </c>
      <c r="N130" s="17">
        <v>0</v>
      </c>
      <c r="O130" s="17"/>
      <c r="P130" s="17"/>
      <c r="Q130" s="17">
        <v>0</v>
      </c>
      <c r="R130" s="17">
        <v>23200000000</v>
      </c>
      <c r="S130" s="17">
        <v>0</v>
      </c>
      <c r="T130" s="17"/>
      <c r="U130" s="17"/>
      <c r="V130" s="17"/>
      <c r="W130" s="17">
        <v>23200000000</v>
      </c>
      <c r="X130" s="17"/>
    </row>
    <row r="131" spans="1:24" x14ac:dyDescent="0.25">
      <c r="A131" t="s">
        <v>383</v>
      </c>
      <c r="B131" t="s">
        <v>412</v>
      </c>
      <c r="C131" t="str">
        <f>VLOOKUP(MasterTable[[#This Row],[Project Code and Name ]],PAProjects[LINKING_CODE],1,FALSE)</f>
        <v>1544 Kisoro-Lake Bunyonyi Road</v>
      </c>
      <c r="D131" t="s">
        <v>113</v>
      </c>
      <c r="E131" t="str">
        <f>VLOOKUP(MasterTable[[#This Row],[Vote]],'MTEF 21-22'!A:B,2,FALSE)</f>
        <v>Uganda National Roads Authority</v>
      </c>
      <c r="F131" t="str">
        <f>CONCATENATE(MasterTable[[#This Row],[Vote]]," ",MasterTable[[#This Row],[Vote Name]])</f>
        <v>113 Uganda National Roads Authority</v>
      </c>
      <c r="G131" t="s">
        <v>19</v>
      </c>
      <c r="H131" s="16">
        <v>43472</v>
      </c>
      <c r="I131" s="16">
        <v>45107</v>
      </c>
      <c r="J131" s="1"/>
      <c r="K131" t="s">
        <v>36</v>
      </c>
      <c r="L131" s="17">
        <v>0</v>
      </c>
      <c r="M131" s="17">
        <v>4800000000</v>
      </c>
      <c r="N131" s="17">
        <v>0</v>
      </c>
      <c r="O131" s="17"/>
      <c r="P131" s="17"/>
      <c r="Q131" s="17">
        <v>0</v>
      </c>
      <c r="R131" s="17"/>
      <c r="S131" s="17"/>
      <c r="T131" s="17"/>
      <c r="U131" s="17"/>
      <c r="V131" s="17"/>
      <c r="W131" s="17">
        <v>4800000000</v>
      </c>
      <c r="X131" s="17"/>
    </row>
    <row r="132" spans="1:24" x14ac:dyDescent="0.25">
      <c r="A132" t="s">
        <v>383</v>
      </c>
      <c r="B132" t="s">
        <v>412</v>
      </c>
      <c r="C132" t="str">
        <f>VLOOKUP(MasterTable[[#This Row],[Project Code and Name ]],PAProjects[LINKING_CODE],1,FALSE)</f>
        <v>1544 Kisoro-Lake Bunyonyi Road</v>
      </c>
      <c r="D132" t="s">
        <v>113</v>
      </c>
      <c r="E132" t="str">
        <f>VLOOKUP(MasterTable[[#This Row],[Vote]],'MTEF 21-22'!A:B,2,FALSE)</f>
        <v>Uganda National Roads Authority</v>
      </c>
      <c r="F132" t="str">
        <f>CONCATENATE(MasterTable[[#This Row],[Vote]]," ",MasterTable[[#This Row],[Vote Name]])</f>
        <v>113 Uganda National Roads Authority</v>
      </c>
      <c r="G132" t="s">
        <v>25</v>
      </c>
      <c r="H132" s="16">
        <v>43472</v>
      </c>
      <c r="I132" s="16">
        <v>45107</v>
      </c>
      <c r="J132" s="1"/>
      <c r="K132" t="s">
        <v>36</v>
      </c>
      <c r="L132" s="17">
        <v>0</v>
      </c>
      <c r="M132" s="17">
        <v>3838050000</v>
      </c>
      <c r="N132" s="17">
        <v>0</v>
      </c>
      <c r="O132" s="17"/>
      <c r="P132" s="17">
        <v>11000000000</v>
      </c>
      <c r="Q132" s="17">
        <v>11000000000</v>
      </c>
      <c r="R132" s="17">
        <v>17000000000</v>
      </c>
      <c r="S132" s="17"/>
      <c r="T132" s="17"/>
      <c r="U132" s="17"/>
      <c r="V132" s="17"/>
      <c r="W132" s="17">
        <v>31838050000</v>
      </c>
      <c r="X132" s="17"/>
    </row>
    <row r="133" spans="1:24" x14ac:dyDescent="0.25">
      <c r="A133" t="s">
        <v>383</v>
      </c>
      <c r="B133" t="s">
        <v>413</v>
      </c>
      <c r="C133" t="str">
        <f>VLOOKUP(MasterTable[[#This Row],[Project Code and Name ]],PAProjects[LINKING_CODE],1,FALSE)</f>
        <v>1545 Kisoro-Mgahinga National Park Headquarters Road</v>
      </c>
      <c r="D133" t="s">
        <v>113</v>
      </c>
      <c r="E133" t="str">
        <f>VLOOKUP(MasterTable[[#This Row],[Vote]],'MTEF 21-22'!A:B,2,FALSE)</f>
        <v>Uganda National Roads Authority</v>
      </c>
      <c r="F133" t="str">
        <f>CONCATENATE(MasterTable[[#This Row],[Vote]]," ",MasterTable[[#This Row],[Vote Name]])</f>
        <v>113 Uganda National Roads Authority</v>
      </c>
      <c r="G133" t="s">
        <v>19</v>
      </c>
      <c r="H133" s="16">
        <v>43472</v>
      </c>
      <c r="I133" s="16">
        <v>45107</v>
      </c>
      <c r="J133" s="1"/>
      <c r="K133" t="s">
        <v>36</v>
      </c>
      <c r="L133" s="17">
        <v>0</v>
      </c>
      <c r="M133" s="17">
        <v>4800000000</v>
      </c>
      <c r="N133" s="17">
        <v>0</v>
      </c>
      <c r="O133" s="17"/>
      <c r="P133" s="17"/>
      <c r="Q133" s="17">
        <v>0</v>
      </c>
      <c r="R133" s="17"/>
      <c r="S133" s="17"/>
      <c r="T133" s="17"/>
      <c r="U133" s="17"/>
      <c r="V133" s="17"/>
      <c r="W133" s="17">
        <v>4800000000</v>
      </c>
      <c r="X133" s="17"/>
    </row>
    <row r="134" spans="1:24" x14ac:dyDescent="0.25">
      <c r="A134" t="s">
        <v>383</v>
      </c>
      <c r="B134" t="s">
        <v>413</v>
      </c>
      <c r="C134" t="str">
        <f>VLOOKUP(MasterTable[[#This Row],[Project Code and Name ]],PAProjects[LINKING_CODE],1,FALSE)</f>
        <v>1545 Kisoro-Mgahinga National Park Headquarters Road</v>
      </c>
      <c r="D134" t="s">
        <v>113</v>
      </c>
      <c r="E134" t="str">
        <f>VLOOKUP(MasterTable[[#This Row],[Vote]],'MTEF 21-22'!A:B,2,FALSE)</f>
        <v>Uganda National Roads Authority</v>
      </c>
      <c r="F134" t="str">
        <f>CONCATENATE(MasterTable[[#This Row],[Vote]]," ",MasterTable[[#This Row],[Vote Name]])</f>
        <v>113 Uganda National Roads Authority</v>
      </c>
      <c r="G134" t="s">
        <v>25</v>
      </c>
      <c r="H134" s="16">
        <v>43472</v>
      </c>
      <c r="I134" s="16">
        <v>45107</v>
      </c>
      <c r="J134" s="1"/>
      <c r="K134" t="s">
        <v>36</v>
      </c>
      <c r="L134" s="17">
        <v>0</v>
      </c>
      <c r="M134" s="17">
        <v>0</v>
      </c>
      <c r="N134" s="17">
        <v>0</v>
      </c>
      <c r="O134" s="17"/>
      <c r="P134" s="17">
        <v>10000000000</v>
      </c>
      <c r="Q134" s="17">
        <v>10000000000</v>
      </c>
      <c r="R134" s="17">
        <v>16000000000</v>
      </c>
      <c r="S134" s="17"/>
      <c r="T134" s="17"/>
      <c r="U134" s="17"/>
      <c r="V134" s="17"/>
      <c r="W134" s="17">
        <v>26000000000</v>
      </c>
      <c r="X134" s="17"/>
    </row>
    <row r="135" spans="1:24" x14ac:dyDescent="0.25">
      <c r="A135" t="s">
        <v>383</v>
      </c>
      <c r="B135" t="s">
        <v>414</v>
      </c>
      <c r="C135" t="str">
        <f>VLOOKUP(MasterTable[[#This Row],[Project Code and Name ]],PAProjects[LINKING_CODE],1,FALSE)</f>
        <v>1546 Kisoro-Nkuringo-Rubugiri-Muko Road</v>
      </c>
      <c r="D135" t="s">
        <v>113</v>
      </c>
      <c r="E135" t="str">
        <f>VLOOKUP(MasterTable[[#This Row],[Vote]],'MTEF 21-22'!A:B,2,FALSE)</f>
        <v>Uganda National Roads Authority</v>
      </c>
      <c r="F135" t="str">
        <f>CONCATENATE(MasterTable[[#This Row],[Vote]]," ",MasterTable[[#This Row],[Vote Name]])</f>
        <v>113 Uganda National Roads Authority</v>
      </c>
      <c r="G135" t="s">
        <v>19</v>
      </c>
      <c r="H135" s="16">
        <v>43472</v>
      </c>
      <c r="I135" s="16">
        <v>45107</v>
      </c>
      <c r="J135" s="1"/>
      <c r="K135" t="s">
        <v>36</v>
      </c>
      <c r="L135" s="17">
        <v>0</v>
      </c>
      <c r="M135" s="17">
        <v>3000000000</v>
      </c>
      <c r="N135" s="17">
        <v>0</v>
      </c>
      <c r="O135" s="17"/>
      <c r="P135" s="17">
        <v>7980000000</v>
      </c>
      <c r="Q135" s="17">
        <v>7980000000</v>
      </c>
      <c r="R135" s="17">
        <v>11970000000</v>
      </c>
      <c r="S135" s="17"/>
      <c r="T135" s="17"/>
      <c r="U135" s="17"/>
      <c r="V135" s="17"/>
      <c r="W135" s="17">
        <v>22950000000</v>
      </c>
      <c r="X135" s="17"/>
    </row>
    <row r="136" spans="1:24" x14ac:dyDescent="0.25">
      <c r="A136" t="s">
        <v>383</v>
      </c>
      <c r="B136" t="s">
        <v>414</v>
      </c>
      <c r="C136" t="str">
        <f>VLOOKUP(MasterTable[[#This Row],[Project Code and Name ]],PAProjects[LINKING_CODE],1,FALSE)</f>
        <v>1546 Kisoro-Nkuringo-Rubugiri-Muko Road</v>
      </c>
      <c r="D136" t="s">
        <v>113</v>
      </c>
      <c r="E136" t="str">
        <f>VLOOKUP(MasterTable[[#This Row],[Vote]],'MTEF 21-22'!A:B,2,FALSE)</f>
        <v>Uganda National Roads Authority</v>
      </c>
      <c r="F136" t="str">
        <f>CONCATENATE(MasterTable[[#This Row],[Vote]]," ",MasterTable[[#This Row],[Vote Name]])</f>
        <v>113 Uganda National Roads Authority</v>
      </c>
      <c r="G136" t="s">
        <v>25</v>
      </c>
      <c r="H136" s="16">
        <v>43472</v>
      </c>
      <c r="I136" s="16">
        <v>45107</v>
      </c>
      <c r="J136" s="1"/>
      <c r="K136" t="s">
        <v>36</v>
      </c>
      <c r="L136" s="17">
        <v>0</v>
      </c>
      <c r="M136" s="17">
        <v>0</v>
      </c>
      <c r="N136" s="17">
        <v>0</v>
      </c>
      <c r="O136" s="17"/>
      <c r="P136" s="17">
        <v>45220000000</v>
      </c>
      <c r="Q136" s="17">
        <v>45220000000</v>
      </c>
      <c r="R136" s="17">
        <v>67830000000</v>
      </c>
      <c r="S136" s="17"/>
      <c r="T136" s="17"/>
      <c r="U136" s="17"/>
      <c r="V136" s="17"/>
      <c r="W136" s="17">
        <v>113050000000</v>
      </c>
      <c r="X136" s="17"/>
    </row>
    <row r="137" spans="1:24" x14ac:dyDescent="0.25">
      <c r="A137" t="s">
        <v>383</v>
      </c>
      <c r="B137" t="s">
        <v>415</v>
      </c>
      <c r="C137" t="str">
        <f>VLOOKUP(MasterTable[[#This Row],[Project Code and Name ]],PAProjects[LINKING_CODE],1,FALSE)</f>
        <v>1550 Namunsi-Sironko/Muyembe-Kapchorwa Section I</v>
      </c>
      <c r="D137" t="s">
        <v>113</v>
      </c>
      <c r="E137" t="str">
        <f>VLOOKUP(MasterTable[[#This Row],[Vote]],'MTEF 21-22'!A:B,2,FALSE)</f>
        <v>Uganda National Roads Authority</v>
      </c>
      <c r="F137" t="str">
        <f>CONCATENATE(MasterTable[[#This Row],[Vote]]," ",MasterTable[[#This Row],[Vote Name]])</f>
        <v>113 Uganda National Roads Authority</v>
      </c>
      <c r="G137" t="s">
        <v>19</v>
      </c>
      <c r="H137" s="16">
        <v>43472</v>
      </c>
      <c r="I137" s="16">
        <v>44742</v>
      </c>
      <c r="J137" t="s">
        <v>20</v>
      </c>
      <c r="K137" t="s">
        <v>36</v>
      </c>
      <c r="L137" s="17">
        <v>10953408276</v>
      </c>
      <c r="M137" s="17">
        <v>16200000000</v>
      </c>
      <c r="N137" s="17">
        <v>0</v>
      </c>
      <c r="O137" s="17"/>
      <c r="P137" s="17"/>
      <c r="Q137" s="17">
        <v>0</v>
      </c>
      <c r="R137" s="17"/>
      <c r="S137" s="17">
        <v>0</v>
      </c>
      <c r="T137" s="17">
        <v>0</v>
      </c>
      <c r="U137" s="17"/>
      <c r="V137" s="17"/>
      <c r="W137" s="17">
        <v>27153408276</v>
      </c>
      <c r="X137" s="17"/>
    </row>
    <row r="138" spans="1:24" x14ac:dyDescent="0.25">
      <c r="A138" t="s">
        <v>383</v>
      </c>
      <c r="B138" t="s">
        <v>416</v>
      </c>
      <c r="C138" t="str">
        <f>VLOOKUP(MasterTable[[#This Row],[Project Code and Name ]],PAProjects[LINKING_CODE],1,FALSE)</f>
        <v>1552 Hoima-Katunguru Road</v>
      </c>
      <c r="D138" t="s">
        <v>113</v>
      </c>
      <c r="E138" t="str">
        <f>VLOOKUP(MasterTable[[#This Row],[Vote]],'MTEF 21-22'!A:B,2,FALSE)</f>
        <v>Uganda National Roads Authority</v>
      </c>
      <c r="F138" t="str">
        <f>CONCATENATE(MasterTable[[#This Row],[Vote]]," ",MasterTable[[#This Row],[Vote Name]])</f>
        <v>113 Uganda National Roads Authority</v>
      </c>
      <c r="G138" t="s">
        <v>19</v>
      </c>
      <c r="H138" s="16">
        <v>43472</v>
      </c>
      <c r="I138" s="16">
        <v>44742</v>
      </c>
      <c r="J138" t="s">
        <v>20</v>
      </c>
      <c r="K138" t="s">
        <v>36</v>
      </c>
      <c r="L138" s="17">
        <v>90811326532</v>
      </c>
      <c r="M138" s="17">
        <v>75500000000</v>
      </c>
      <c r="N138" s="17">
        <v>0</v>
      </c>
      <c r="O138" s="17"/>
      <c r="P138" s="17">
        <v>47000000000</v>
      </c>
      <c r="Q138" s="17">
        <v>47000000000</v>
      </c>
      <c r="R138" s="17">
        <v>0</v>
      </c>
      <c r="S138" s="17">
        <v>0</v>
      </c>
      <c r="T138" s="17">
        <v>0</v>
      </c>
      <c r="U138" s="17"/>
      <c r="V138" s="17"/>
      <c r="W138" s="17">
        <v>213311326532</v>
      </c>
      <c r="X138" s="17"/>
    </row>
    <row r="139" spans="1:24" x14ac:dyDescent="0.25">
      <c r="A139" t="s">
        <v>383</v>
      </c>
      <c r="B139" t="s">
        <v>417</v>
      </c>
      <c r="C139" t="str">
        <f>VLOOKUP(MasterTable[[#This Row],[Project Code and Name ]],PAProjects[LINKING_CODE],1,FALSE)</f>
        <v>1554 Nakalama-Tirinyi-Mbale Road</v>
      </c>
      <c r="D139" t="s">
        <v>113</v>
      </c>
      <c r="E139" t="str">
        <f>VLOOKUP(MasterTable[[#This Row],[Vote]],'MTEF 21-22'!A:B,2,FALSE)</f>
        <v>Uganda National Roads Authority</v>
      </c>
      <c r="F139" t="str">
        <f>CONCATENATE(MasterTable[[#This Row],[Vote]]," ",MasterTable[[#This Row],[Vote Name]])</f>
        <v>113 Uganda National Roads Authority</v>
      </c>
      <c r="G139" t="s">
        <v>19</v>
      </c>
      <c r="H139" s="16">
        <v>43472</v>
      </c>
      <c r="I139" s="16">
        <v>44742</v>
      </c>
      <c r="J139" t="s">
        <v>20</v>
      </c>
      <c r="K139" t="s">
        <v>36</v>
      </c>
      <c r="L139" s="17">
        <v>127881194869</v>
      </c>
      <c r="M139" s="17">
        <v>47050000000</v>
      </c>
      <c r="N139" s="17">
        <v>0</v>
      </c>
      <c r="O139" s="17"/>
      <c r="P139" s="17">
        <v>22500000000</v>
      </c>
      <c r="Q139" s="17">
        <v>22500000000</v>
      </c>
      <c r="R139" s="17">
        <v>0</v>
      </c>
      <c r="S139" s="17">
        <v>0</v>
      </c>
      <c r="T139" s="17">
        <v>0</v>
      </c>
      <c r="U139" s="17"/>
      <c r="V139" s="17"/>
      <c r="W139" s="17">
        <v>197431194869</v>
      </c>
      <c r="X139" s="17"/>
    </row>
    <row r="140" spans="1:24" x14ac:dyDescent="0.25">
      <c r="A140" t="s">
        <v>383</v>
      </c>
      <c r="B140" t="s">
        <v>418</v>
      </c>
      <c r="C140" t="str">
        <f>VLOOKUP(MasterTable[[#This Row],[Project Code and Name ]],PAProjects[LINKING_CODE],1,FALSE)</f>
        <v>1656 Construction of Muko - Katuna Road (66.6 km)</v>
      </c>
      <c r="D140" t="s">
        <v>113</v>
      </c>
      <c r="E140" t="str">
        <f>VLOOKUP(MasterTable[[#This Row],[Vote]],'MTEF 21-22'!A:B,2,FALSE)</f>
        <v>Uganda National Roads Authority</v>
      </c>
      <c r="F140" t="str">
        <f>CONCATENATE(MasterTable[[#This Row],[Vote]]," ",MasterTable[[#This Row],[Vote Name]])</f>
        <v>113 Uganda National Roads Authority</v>
      </c>
      <c r="G140" t="s">
        <v>19</v>
      </c>
      <c r="H140" s="16">
        <v>44013</v>
      </c>
      <c r="I140" s="16">
        <v>45838</v>
      </c>
      <c r="J140" s="1"/>
      <c r="K140" t="s">
        <v>36</v>
      </c>
      <c r="L140" s="17">
        <v>0</v>
      </c>
      <c r="M140" s="17"/>
      <c r="N140" s="17">
        <v>0</v>
      </c>
      <c r="O140" s="17"/>
      <c r="P140" s="17"/>
      <c r="Q140" s="17">
        <v>0</v>
      </c>
      <c r="R140" s="17">
        <v>0</v>
      </c>
      <c r="S140" s="17">
        <v>0</v>
      </c>
      <c r="T140" s="17">
        <v>0</v>
      </c>
      <c r="U140" s="17"/>
      <c r="V140" s="17"/>
      <c r="W140" s="17">
        <v>0</v>
      </c>
      <c r="X140" s="17"/>
    </row>
    <row r="141" spans="1:24" x14ac:dyDescent="0.25">
      <c r="A141" t="s">
        <v>383</v>
      </c>
      <c r="B141" t="s">
        <v>418</v>
      </c>
      <c r="C141" t="str">
        <f>VLOOKUP(MasterTable[[#This Row],[Project Code and Name ]],PAProjects[LINKING_CODE],1,FALSE)</f>
        <v>1656 Construction of Muko - Katuna Road (66.6 km)</v>
      </c>
      <c r="D141" t="s">
        <v>113</v>
      </c>
      <c r="E141" t="str">
        <f>VLOOKUP(MasterTable[[#This Row],[Vote]],'MTEF 21-22'!A:B,2,FALSE)</f>
        <v>Uganda National Roads Authority</v>
      </c>
      <c r="F141" t="str">
        <f>CONCATENATE(MasterTable[[#This Row],[Vote]]," ",MasterTable[[#This Row],[Vote Name]])</f>
        <v>113 Uganda National Roads Authority</v>
      </c>
      <c r="G141" t="s">
        <v>25</v>
      </c>
      <c r="H141" s="16">
        <v>44013</v>
      </c>
      <c r="I141" s="16">
        <v>45838</v>
      </c>
      <c r="J141" s="1"/>
      <c r="K141" t="s">
        <v>36</v>
      </c>
      <c r="L141" s="17">
        <v>0</v>
      </c>
      <c r="M141" s="17"/>
      <c r="N141" s="17">
        <v>0</v>
      </c>
      <c r="O141" s="17"/>
      <c r="P141" s="17"/>
      <c r="Q141" s="17"/>
      <c r="R141" s="17"/>
      <c r="S141" s="17"/>
      <c r="T141" s="17"/>
      <c r="U141" s="17"/>
      <c r="V141" s="17"/>
      <c r="W141" s="17">
        <v>0</v>
      </c>
      <c r="X141" s="17"/>
    </row>
    <row r="142" spans="1:24" x14ac:dyDescent="0.25">
      <c r="A142" t="s">
        <v>383</v>
      </c>
      <c r="B142" t="s">
        <v>419</v>
      </c>
      <c r="C142" t="str">
        <f>VLOOKUP(MasterTable[[#This Row],[Project Code and Name ]],PAProjects[LINKING_CODE],1,FALSE)</f>
        <v>1657 Moyo-Yumbe-Koboko road</v>
      </c>
      <c r="D142" t="s">
        <v>113</v>
      </c>
      <c r="E142" t="str">
        <f>VLOOKUP(MasterTable[[#This Row],[Vote]],'MTEF 21-22'!A:B,2,FALSE)</f>
        <v>Uganda National Roads Authority</v>
      </c>
      <c r="F142" t="str">
        <f>CONCATENATE(MasterTable[[#This Row],[Vote]]," ",MasterTable[[#This Row],[Vote Name]])</f>
        <v>113 Uganda National Roads Authority</v>
      </c>
      <c r="G142" t="s">
        <v>19</v>
      </c>
      <c r="H142" s="16">
        <v>44013</v>
      </c>
      <c r="I142" s="16">
        <v>45838</v>
      </c>
      <c r="J142" s="1"/>
      <c r="K142" t="s">
        <v>36</v>
      </c>
      <c r="L142" s="17">
        <v>0</v>
      </c>
      <c r="M142" s="17">
        <v>100000000</v>
      </c>
      <c r="N142" s="17">
        <v>0</v>
      </c>
      <c r="O142" s="17"/>
      <c r="P142" s="17"/>
      <c r="Q142" s="17">
        <v>0</v>
      </c>
      <c r="R142" s="17">
        <v>0</v>
      </c>
      <c r="S142" s="17">
        <v>0</v>
      </c>
      <c r="T142" s="17">
        <v>0</v>
      </c>
      <c r="U142" s="17"/>
      <c r="V142" s="17"/>
      <c r="W142" s="17">
        <v>100000000</v>
      </c>
      <c r="X142" s="17"/>
    </row>
    <row r="143" spans="1:24" x14ac:dyDescent="0.25">
      <c r="A143" t="s">
        <v>383</v>
      </c>
      <c r="B143" t="s">
        <v>419</v>
      </c>
      <c r="C143" t="str">
        <f>VLOOKUP(MasterTable[[#This Row],[Project Code and Name ]],PAProjects[LINKING_CODE],1,FALSE)</f>
        <v>1657 Moyo-Yumbe-Koboko road</v>
      </c>
      <c r="D143" t="s">
        <v>113</v>
      </c>
      <c r="E143" t="str">
        <f>VLOOKUP(MasterTable[[#This Row],[Vote]],'MTEF 21-22'!A:B,2,FALSE)</f>
        <v>Uganda National Roads Authority</v>
      </c>
      <c r="F143" t="str">
        <f>CONCATENATE(MasterTable[[#This Row],[Vote]]," ",MasterTable[[#This Row],[Vote Name]])</f>
        <v>113 Uganda National Roads Authority</v>
      </c>
      <c r="G143" t="s">
        <v>25</v>
      </c>
      <c r="H143" s="16">
        <v>44013</v>
      </c>
      <c r="I143" s="16">
        <v>45838</v>
      </c>
      <c r="J143" s="1"/>
      <c r="K143" t="s">
        <v>36</v>
      </c>
      <c r="L143" s="17">
        <v>0</v>
      </c>
      <c r="M143" s="17">
        <v>1919025000</v>
      </c>
      <c r="N143" s="17">
        <v>0</v>
      </c>
      <c r="O143" s="17"/>
      <c r="P143" s="17">
        <v>78000000000</v>
      </c>
      <c r="Q143" s="17">
        <v>78000000000</v>
      </c>
      <c r="R143" s="17">
        <v>117000000000</v>
      </c>
      <c r="S143" s="17">
        <v>156000000000</v>
      </c>
      <c r="T143" s="17">
        <v>39000000000</v>
      </c>
      <c r="U143" s="17"/>
      <c r="V143" s="17"/>
      <c r="W143" s="17">
        <v>391919025000</v>
      </c>
      <c r="X143" s="17"/>
    </row>
    <row r="144" spans="1:24" x14ac:dyDescent="0.25">
      <c r="A144" t="s">
        <v>383</v>
      </c>
      <c r="B144" t="s">
        <v>420</v>
      </c>
      <c r="C144" t="str">
        <f>VLOOKUP(MasterTable[[#This Row],[Project Code and Name ]],PAProjects[LINKING_CODE],1,FALSE)</f>
        <v>1692 Rehabilitation of Masaka Town Roads (7.3 KM)</v>
      </c>
      <c r="D144" t="s">
        <v>113</v>
      </c>
      <c r="E144" t="str">
        <f>VLOOKUP(MasterTable[[#This Row],[Vote]],'MTEF 21-22'!A:B,2,FALSE)</f>
        <v>Uganda National Roads Authority</v>
      </c>
      <c r="F144" t="str">
        <f>CONCATENATE(MasterTable[[#This Row],[Vote]]," ",MasterTable[[#This Row],[Vote Name]])</f>
        <v>113 Uganda National Roads Authority</v>
      </c>
      <c r="G144" t="s">
        <v>19</v>
      </c>
      <c r="H144" s="16">
        <v>44013</v>
      </c>
      <c r="I144" s="16">
        <v>45838</v>
      </c>
      <c r="J144" t="s">
        <v>20</v>
      </c>
      <c r="K144" t="s">
        <v>36</v>
      </c>
      <c r="L144" s="17">
        <v>0</v>
      </c>
      <c r="M144" s="17">
        <v>20550000000</v>
      </c>
      <c r="N144" s="17">
        <v>0</v>
      </c>
      <c r="O144" s="17"/>
      <c r="P144" s="17">
        <v>16000000000</v>
      </c>
      <c r="Q144" s="17">
        <v>16000000000</v>
      </c>
      <c r="R144" s="17">
        <v>0</v>
      </c>
      <c r="S144" s="17">
        <v>0</v>
      </c>
      <c r="T144" s="17">
        <v>0</v>
      </c>
      <c r="U144" s="17"/>
      <c r="V144" s="17"/>
      <c r="W144" s="17">
        <v>36550000000</v>
      </c>
      <c r="X144" s="17"/>
    </row>
    <row r="145" spans="1:27" x14ac:dyDescent="0.25">
      <c r="A145" t="s">
        <v>383</v>
      </c>
      <c r="B145" t="s">
        <v>421</v>
      </c>
      <c r="C145" t="str">
        <f>VLOOKUP(MasterTable[[#This Row],[Project Code and Name ]],PAProjects[LINKING_CODE],1,FALSE)</f>
        <v>1693 Rehabilitation of Kampala-Jinja Highway(72 KM)</v>
      </c>
      <c r="D145" t="s">
        <v>113</v>
      </c>
      <c r="E145" t="str">
        <f>VLOOKUP(MasterTable[[#This Row],[Vote]],'MTEF 21-22'!A:B,2,FALSE)</f>
        <v>Uganda National Roads Authority</v>
      </c>
      <c r="F145" t="str">
        <f>CONCATENATE(MasterTable[[#This Row],[Vote]]," ",MasterTable[[#This Row],[Vote Name]])</f>
        <v>113 Uganda National Roads Authority</v>
      </c>
      <c r="G145" t="s">
        <v>19</v>
      </c>
      <c r="H145" s="16">
        <v>44013</v>
      </c>
      <c r="I145" s="16">
        <v>45838</v>
      </c>
      <c r="J145" s="1"/>
      <c r="K145" t="s">
        <v>36</v>
      </c>
      <c r="L145" s="17">
        <v>6835173463</v>
      </c>
      <c r="M145" s="17">
        <v>10000000000</v>
      </c>
      <c r="N145" s="17">
        <v>0</v>
      </c>
      <c r="O145" s="17"/>
      <c r="P145" s="17"/>
      <c r="Q145" s="17">
        <v>0</v>
      </c>
      <c r="R145" s="17">
        <v>0</v>
      </c>
      <c r="S145" s="17">
        <v>0</v>
      </c>
      <c r="T145" s="17">
        <v>0</v>
      </c>
      <c r="U145" s="17"/>
      <c r="V145" s="17"/>
      <c r="W145" s="17">
        <v>16835173463</v>
      </c>
      <c r="X145" s="17"/>
    </row>
    <row r="146" spans="1:27" x14ac:dyDescent="0.25">
      <c r="A146" t="s">
        <v>383</v>
      </c>
      <c r="B146" t="s">
        <v>422</v>
      </c>
      <c r="C146" t="str">
        <f>VLOOKUP(MasterTable[[#This Row],[Project Code and Name ]],PAProjects[LINKING_CODE],1,FALSE)</f>
        <v>1694 Rehabilitation  of Mityana-Mubende Road(100KM)</v>
      </c>
      <c r="D146" t="s">
        <v>113</v>
      </c>
      <c r="E146" t="str">
        <f>VLOOKUP(MasterTable[[#This Row],[Vote]],'MTEF 21-22'!A:B,2,FALSE)</f>
        <v>Uganda National Roads Authority</v>
      </c>
      <c r="F146" t="str">
        <f>CONCATENATE(MasterTable[[#This Row],[Vote]]," ",MasterTable[[#This Row],[Vote Name]])</f>
        <v>113 Uganda National Roads Authority</v>
      </c>
      <c r="G146" t="s">
        <v>19</v>
      </c>
      <c r="H146" s="16">
        <v>44013</v>
      </c>
      <c r="I146" s="16">
        <v>45838</v>
      </c>
      <c r="J146" t="s">
        <v>20</v>
      </c>
      <c r="K146" t="s">
        <v>36</v>
      </c>
      <c r="L146" s="17">
        <v>0</v>
      </c>
      <c r="M146" s="17">
        <v>62400000000</v>
      </c>
      <c r="N146" s="17">
        <v>0</v>
      </c>
      <c r="O146" s="17"/>
      <c r="P146" s="17">
        <v>101000000000</v>
      </c>
      <c r="Q146" s="17">
        <v>101000000000</v>
      </c>
      <c r="R146" s="17">
        <v>101000000000</v>
      </c>
      <c r="S146" s="17">
        <v>101000000000</v>
      </c>
      <c r="T146" s="17">
        <v>40000000000</v>
      </c>
      <c r="U146" s="17"/>
      <c r="V146" s="17"/>
      <c r="W146" s="17">
        <v>405400000000</v>
      </c>
      <c r="X146" s="17"/>
    </row>
    <row r="147" spans="1:27" x14ac:dyDescent="0.25">
      <c r="A147" t="s">
        <v>383</v>
      </c>
      <c r="B147" t="s">
        <v>423</v>
      </c>
      <c r="C147" t="str">
        <f>VLOOKUP(MasterTable[[#This Row],[Project Code and Name ]],PAProjects[LINKING_CODE],1,FALSE)</f>
        <v>1695 Rehabilitation of Packwach-Nebbi Section 2 Road(33KM)</v>
      </c>
      <c r="D147" t="s">
        <v>113</v>
      </c>
      <c r="E147" t="str">
        <f>VLOOKUP(MasterTable[[#This Row],[Vote]],'MTEF 21-22'!A:B,2,FALSE)</f>
        <v>Uganda National Roads Authority</v>
      </c>
      <c r="F147" t="str">
        <f>CONCATENATE(MasterTable[[#This Row],[Vote]]," ",MasterTable[[#This Row],[Vote Name]])</f>
        <v>113 Uganda National Roads Authority</v>
      </c>
      <c r="G147" t="s">
        <v>19</v>
      </c>
      <c r="H147" s="16">
        <v>44013</v>
      </c>
      <c r="I147" s="16">
        <v>45838</v>
      </c>
      <c r="J147" s="1"/>
      <c r="K147" t="s">
        <v>36</v>
      </c>
      <c r="L147" s="17">
        <v>0</v>
      </c>
      <c r="M147" s="17">
        <v>22050000000</v>
      </c>
      <c r="N147" s="17">
        <v>0</v>
      </c>
      <c r="O147" s="17"/>
      <c r="P147" s="17"/>
      <c r="Q147" s="17">
        <v>0</v>
      </c>
      <c r="R147" s="17">
        <v>0</v>
      </c>
      <c r="S147" s="17">
        <v>0</v>
      </c>
      <c r="T147" s="17">
        <v>0</v>
      </c>
      <c r="U147" s="17"/>
      <c r="V147" s="17"/>
      <c r="W147" s="17">
        <v>22050000000</v>
      </c>
      <c r="X147" s="17"/>
    </row>
    <row r="148" spans="1:27" x14ac:dyDescent="0.25">
      <c r="A148" t="s">
        <v>424</v>
      </c>
      <c r="B148" t="s">
        <v>425</v>
      </c>
      <c r="C148" t="str">
        <f>VLOOKUP(MasterTable[[#This Row],[Project Code and Name ]],PAProjects[LINKING_CODE],1,FALSE)</f>
        <v>1284 Development of new Kampala Port in Bukasa</v>
      </c>
      <c r="D148" t="s">
        <v>99</v>
      </c>
      <c r="E148" t="str">
        <f>VLOOKUP(MasterTable[[#This Row],[Vote]],'MTEF 21-22'!A:B,2,FALSE)</f>
        <v>Ministry of Works and Transport</v>
      </c>
      <c r="F148" t="str">
        <f>CONCATENATE(MasterTable[[#This Row],[Vote]]," ",MasterTable[[#This Row],[Vote Name]])</f>
        <v>016 Ministry of Works and Transport</v>
      </c>
      <c r="G148" t="s">
        <v>19</v>
      </c>
      <c r="H148" s="16">
        <v>41281</v>
      </c>
      <c r="I148" s="16">
        <v>44742</v>
      </c>
      <c r="J148" t="s">
        <v>20</v>
      </c>
      <c r="K148" t="s">
        <v>36</v>
      </c>
      <c r="L148" s="17">
        <v>47970000000</v>
      </c>
      <c r="M148" s="17">
        <v>20400000000</v>
      </c>
      <c r="N148" s="17"/>
      <c r="O148" s="17"/>
      <c r="P148" s="17">
        <v>5310000000</v>
      </c>
      <c r="Q148" s="17">
        <v>5310000000</v>
      </c>
      <c r="R148" s="17"/>
      <c r="S148" s="17"/>
      <c r="T148" s="17"/>
      <c r="U148" s="17"/>
      <c r="V148" s="17"/>
      <c r="W148" s="17">
        <v>73680000000</v>
      </c>
      <c r="X148" s="17">
        <v>140800000000</v>
      </c>
      <c r="AA148" t="s">
        <v>23</v>
      </c>
    </row>
    <row r="149" spans="1:27" x14ac:dyDescent="0.25">
      <c r="A149" t="s">
        <v>424</v>
      </c>
      <c r="B149" t="s">
        <v>425</v>
      </c>
      <c r="C149" t="str">
        <f>VLOOKUP(MasterTable[[#This Row],[Project Code and Name ]],PAProjects[LINKING_CODE],1,FALSE)</f>
        <v>1284 Development of new Kampala Port in Bukasa</v>
      </c>
      <c r="D149" t="s">
        <v>99</v>
      </c>
      <c r="E149" t="str">
        <f>VLOOKUP(MasterTable[[#This Row],[Vote]],'MTEF 21-22'!A:B,2,FALSE)</f>
        <v>Ministry of Works and Transport</v>
      </c>
      <c r="F149" t="str">
        <f>CONCATENATE(MasterTable[[#This Row],[Vote]]," ",MasterTable[[#This Row],[Vote Name]])</f>
        <v>016 Ministry of Works and Transport</v>
      </c>
      <c r="G149" t="s">
        <v>25</v>
      </c>
      <c r="H149" s="16">
        <v>41281</v>
      </c>
      <c r="I149" s="16">
        <v>44742</v>
      </c>
      <c r="J149" t="s">
        <v>20</v>
      </c>
      <c r="K149" t="s">
        <v>36</v>
      </c>
      <c r="L149" s="17">
        <v>37720000000</v>
      </c>
      <c r="M149" s="17">
        <v>92040000000</v>
      </c>
      <c r="N149" s="17"/>
      <c r="O149" s="17"/>
      <c r="P149" s="17">
        <v>1003000000</v>
      </c>
      <c r="Q149" s="17">
        <v>1003000000</v>
      </c>
      <c r="R149" s="17"/>
      <c r="S149" s="17"/>
      <c r="T149" s="17"/>
      <c r="U149" s="17"/>
      <c r="V149" s="17"/>
      <c r="W149" s="17">
        <v>130763000000</v>
      </c>
      <c r="X149" s="17">
        <v>178000000000</v>
      </c>
      <c r="AA149" t="s">
        <v>28</v>
      </c>
    </row>
    <row r="150" spans="1:27" x14ac:dyDescent="0.25">
      <c r="A150" t="s">
        <v>424</v>
      </c>
      <c r="B150" t="s">
        <v>426</v>
      </c>
      <c r="C150" t="str">
        <f>VLOOKUP(MasterTable[[#This Row],[Project Code and Name ]],PAProjects[LINKING_CODE],1,FALSE)</f>
        <v>1373 Entebbe Airport Rehabilitation Phase 1</v>
      </c>
      <c r="D150" t="s">
        <v>99</v>
      </c>
      <c r="E150" t="str">
        <f>VLOOKUP(MasterTable[[#This Row],[Vote]],'MTEF 21-22'!A:B,2,FALSE)</f>
        <v>Ministry of Works and Transport</v>
      </c>
      <c r="F150" t="str">
        <f>CONCATENATE(MasterTable[[#This Row],[Vote]]," ",MasterTable[[#This Row],[Vote Name]])</f>
        <v>016 Ministry of Works and Transport</v>
      </c>
      <c r="G150" t="s">
        <v>19</v>
      </c>
      <c r="H150" s="16">
        <v>41281</v>
      </c>
      <c r="I150" s="16">
        <v>44711</v>
      </c>
      <c r="J150" t="s">
        <v>20</v>
      </c>
      <c r="K150" t="s">
        <v>36</v>
      </c>
      <c r="L150" s="17">
        <v>0</v>
      </c>
      <c r="M150" s="17">
        <v>0</v>
      </c>
      <c r="N150" s="17"/>
      <c r="O150" s="17"/>
      <c r="P150" s="17">
        <v>0</v>
      </c>
      <c r="Q150" s="17">
        <v>0</v>
      </c>
      <c r="R150" s="17"/>
      <c r="S150" s="17"/>
      <c r="T150" s="17"/>
      <c r="U150" s="17"/>
      <c r="V150" s="17"/>
      <c r="W150" s="17">
        <v>0</v>
      </c>
      <c r="X150" s="17"/>
    </row>
    <row r="151" spans="1:27" x14ac:dyDescent="0.25">
      <c r="A151" t="s">
        <v>424</v>
      </c>
      <c r="B151" t="s">
        <v>426</v>
      </c>
      <c r="C151" t="str">
        <f>VLOOKUP(MasterTable[[#This Row],[Project Code and Name ]],PAProjects[LINKING_CODE],1,FALSE)</f>
        <v>1373 Entebbe Airport Rehabilitation Phase 1</v>
      </c>
      <c r="D151" t="s">
        <v>99</v>
      </c>
      <c r="E151" t="str">
        <f>VLOOKUP(MasterTable[[#This Row],[Vote]],'MTEF 21-22'!A:B,2,FALSE)</f>
        <v>Ministry of Works and Transport</v>
      </c>
      <c r="F151" t="str">
        <f>CONCATENATE(MasterTable[[#This Row],[Vote]]," ",MasterTable[[#This Row],[Vote Name]])</f>
        <v>016 Ministry of Works and Transport</v>
      </c>
      <c r="G151" t="s">
        <v>25</v>
      </c>
      <c r="H151" s="16">
        <v>41281</v>
      </c>
      <c r="I151" s="16">
        <v>44711</v>
      </c>
      <c r="J151" t="s">
        <v>20</v>
      </c>
      <c r="K151" t="s">
        <v>36</v>
      </c>
      <c r="L151" s="17">
        <v>493660000000</v>
      </c>
      <c r="M151" s="17">
        <v>149680000000</v>
      </c>
      <c r="N151" s="17"/>
      <c r="O151" s="17"/>
      <c r="P151" s="17">
        <v>117943000000</v>
      </c>
      <c r="Q151" s="17">
        <v>117943000000</v>
      </c>
      <c r="R151" s="17">
        <v>0</v>
      </c>
      <c r="S151" s="17">
        <v>0</v>
      </c>
      <c r="T151" s="17">
        <v>0</v>
      </c>
      <c r="U151" s="17"/>
      <c r="V151" s="17"/>
      <c r="W151" s="17">
        <v>761283000000</v>
      </c>
      <c r="X151" s="17">
        <v>750000000000</v>
      </c>
      <c r="Y151" t="s">
        <v>427</v>
      </c>
    </row>
    <row r="152" spans="1:27" x14ac:dyDescent="0.25">
      <c r="A152" t="s">
        <v>424</v>
      </c>
      <c r="B152" t="s">
        <v>428</v>
      </c>
      <c r="C152" t="str">
        <f>VLOOKUP(MasterTable[[#This Row],[Project Code and Name ]],PAProjects[LINKING_CODE],1,FALSE)</f>
        <v>1489 Development of Kabaale Airport</v>
      </c>
      <c r="D152" t="s">
        <v>99</v>
      </c>
      <c r="E152" t="str">
        <f>VLOOKUP(MasterTable[[#This Row],[Vote]],'MTEF 21-22'!A:B,2,FALSE)</f>
        <v>Ministry of Works and Transport</v>
      </c>
      <c r="F152" t="str">
        <f>CONCATENATE(MasterTable[[#This Row],[Vote]]," ",MasterTable[[#This Row],[Vote Name]])</f>
        <v>016 Ministry of Works and Transport</v>
      </c>
      <c r="G152" t="s">
        <v>19</v>
      </c>
      <c r="H152" s="16">
        <v>42742</v>
      </c>
      <c r="I152" s="16">
        <v>45107</v>
      </c>
      <c r="J152" t="s">
        <v>20</v>
      </c>
      <c r="K152" t="s">
        <v>36</v>
      </c>
      <c r="L152" s="17">
        <v>18370000000</v>
      </c>
      <c r="M152" s="17">
        <v>3000000000</v>
      </c>
      <c r="N152" s="17"/>
      <c r="O152" s="17"/>
      <c r="P152" s="17">
        <v>3000000000</v>
      </c>
      <c r="Q152" s="17">
        <v>3000000000</v>
      </c>
      <c r="R152" s="17">
        <v>6000000000</v>
      </c>
      <c r="S152" s="17">
        <v>0</v>
      </c>
      <c r="T152" s="17">
        <v>0</v>
      </c>
      <c r="U152" s="17"/>
      <c r="V152" s="17"/>
      <c r="W152" s="17">
        <v>30370000000</v>
      </c>
      <c r="X152" s="17">
        <v>22188185376</v>
      </c>
      <c r="Y152" t="s">
        <v>429</v>
      </c>
    </row>
    <row r="153" spans="1:27" x14ac:dyDescent="0.25">
      <c r="A153" t="s">
        <v>424</v>
      </c>
      <c r="B153" t="s">
        <v>428</v>
      </c>
      <c r="C153" t="str">
        <f>VLOOKUP(MasterTable[[#This Row],[Project Code and Name ]],PAProjects[LINKING_CODE],1,FALSE)</f>
        <v>1489 Development of Kabaale Airport</v>
      </c>
      <c r="D153" t="s">
        <v>99</v>
      </c>
      <c r="E153" t="str">
        <f>VLOOKUP(MasterTable[[#This Row],[Vote]],'MTEF 21-22'!A:B,2,FALSE)</f>
        <v>Ministry of Works and Transport</v>
      </c>
      <c r="F153" t="str">
        <f>CONCATENATE(MasterTable[[#This Row],[Vote]]," ",MasterTable[[#This Row],[Vote Name]])</f>
        <v>016 Ministry of Works and Transport</v>
      </c>
      <c r="G153" t="s">
        <v>25</v>
      </c>
      <c r="H153" s="16">
        <v>42742</v>
      </c>
      <c r="I153" s="16">
        <v>45107</v>
      </c>
      <c r="J153" t="s">
        <v>20</v>
      </c>
      <c r="K153" t="s">
        <v>36</v>
      </c>
      <c r="L153" s="17">
        <v>268780000000</v>
      </c>
      <c r="M153" s="17">
        <v>292840000000</v>
      </c>
      <c r="N153" s="17"/>
      <c r="O153" s="17"/>
      <c r="P153" s="17">
        <v>58972000000</v>
      </c>
      <c r="Q153" s="17">
        <v>58972000000</v>
      </c>
      <c r="R153" s="17">
        <v>465000000000</v>
      </c>
      <c r="S153" s="17">
        <v>0</v>
      </c>
      <c r="T153" s="17">
        <v>0</v>
      </c>
      <c r="U153" s="17"/>
      <c r="V153" s="17"/>
      <c r="W153" s="17">
        <v>1085592000000</v>
      </c>
      <c r="X153" s="17">
        <v>1220401037960</v>
      </c>
      <c r="Y153" t="s">
        <v>430</v>
      </c>
    </row>
    <row r="154" spans="1:27" x14ac:dyDescent="0.25">
      <c r="A154" t="s">
        <v>424</v>
      </c>
      <c r="B154" t="s">
        <v>431</v>
      </c>
      <c r="C154" t="str">
        <f>VLOOKUP(MasterTable[[#This Row],[Project Code and Name ]],PAProjects[LINKING_CODE],1,FALSE)</f>
        <v>1456 Multinational Lake Victoria Maritime Comm. &amp;Transport Project</v>
      </c>
      <c r="D154" t="s">
        <v>99</v>
      </c>
      <c r="E154" t="str">
        <f>VLOOKUP(MasterTable[[#This Row],[Vote]],'MTEF 21-22'!A:B,2,FALSE)</f>
        <v>Ministry of Works and Transport</v>
      </c>
      <c r="F154" t="str">
        <f>CONCATENATE(MasterTable[[#This Row],[Vote]]," ",MasterTable[[#This Row],[Vote Name]])</f>
        <v>016 Ministry of Works and Transport</v>
      </c>
      <c r="G154" t="s">
        <v>19</v>
      </c>
      <c r="H154" s="16">
        <v>42742</v>
      </c>
      <c r="I154" s="46"/>
      <c r="J154" t="s">
        <v>20</v>
      </c>
      <c r="K154" t="s">
        <v>36</v>
      </c>
      <c r="L154" s="17">
        <v>1090000000</v>
      </c>
      <c r="M154" s="17">
        <v>1000000000</v>
      </c>
      <c r="N154" s="17"/>
      <c r="O154" s="17"/>
      <c r="P154" s="17">
        <v>2000000000</v>
      </c>
      <c r="Q154" s="17">
        <v>2000000000</v>
      </c>
      <c r="R154" s="17">
        <v>5000000000</v>
      </c>
      <c r="S154" s="17">
        <v>0</v>
      </c>
      <c r="T154" s="17">
        <v>0</v>
      </c>
      <c r="U154" s="17"/>
      <c r="V154" s="17"/>
      <c r="W154" s="17">
        <v>9090000000</v>
      </c>
      <c r="X154" s="17">
        <v>8140000000</v>
      </c>
    </row>
    <row r="155" spans="1:27" x14ac:dyDescent="0.25">
      <c r="A155" t="s">
        <v>424</v>
      </c>
      <c r="B155" t="s">
        <v>431</v>
      </c>
      <c r="C155" t="str">
        <f>VLOOKUP(MasterTable[[#This Row],[Project Code and Name ]],PAProjects[LINKING_CODE],1,FALSE)</f>
        <v>1456 Multinational Lake Victoria Maritime Comm. &amp;Transport Project</v>
      </c>
      <c r="D155" t="s">
        <v>99</v>
      </c>
      <c r="E155" t="str">
        <f>VLOOKUP(MasterTable[[#This Row],[Vote]],'MTEF 21-22'!A:B,2,FALSE)</f>
        <v>Ministry of Works and Transport</v>
      </c>
      <c r="F155" t="str">
        <f>CONCATENATE(MasterTable[[#This Row],[Vote]]," ",MasterTable[[#This Row],[Vote Name]])</f>
        <v>016 Ministry of Works and Transport</v>
      </c>
      <c r="G155" t="s">
        <v>25</v>
      </c>
      <c r="H155" s="16">
        <v>42742</v>
      </c>
      <c r="I155" s="46"/>
      <c r="J155" t="s">
        <v>20</v>
      </c>
      <c r="K155" t="s">
        <v>36</v>
      </c>
      <c r="L155" s="17">
        <v>1820000000</v>
      </c>
      <c r="M155" s="17">
        <v>25190000000</v>
      </c>
      <c r="N155" s="17"/>
      <c r="O155" s="17"/>
      <c r="P155" s="17">
        <v>5504000000</v>
      </c>
      <c r="Q155" s="17">
        <v>5504000000</v>
      </c>
      <c r="R155" s="17">
        <v>0</v>
      </c>
      <c r="S155" s="17">
        <v>0</v>
      </c>
      <c r="T155" s="17">
        <v>0</v>
      </c>
      <c r="U155" s="17"/>
      <c r="V155" s="17"/>
      <c r="W155" s="17">
        <v>32514000000</v>
      </c>
      <c r="X155" s="17">
        <v>53280000000</v>
      </c>
      <c r="Y155" t="s">
        <v>432</v>
      </c>
    </row>
    <row r="156" spans="1:27" x14ac:dyDescent="0.25">
      <c r="A156" t="s">
        <v>424</v>
      </c>
      <c r="B156" t="s">
        <v>433</v>
      </c>
      <c r="C156" t="str">
        <f>VLOOKUP(MasterTable[[#This Row],[Project Code and Name ]],PAProjects[LINKING_CODE],1,FALSE)</f>
        <v>1097 New Standard Gauge Railway Line</v>
      </c>
      <c r="D156" t="s">
        <v>99</v>
      </c>
      <c r="E156" t="str">
        <f>VLOOKUP(MasterTable[[#This Row],[Vote]],'MTEF 21-22'!A:B,2,FALSE)</f>
        <v>Ministry of Works and Transport</v>
      </c>
      <c r="F156" t="str">
        <f>CONCATENATE(MasterTable[[#This Row],[Vote]]," ",MasterTable[[#This Row],[Vote Name]])</f>
        <v>016 Ministry of Works and Transport</v>
      </c>
      <c r="G156" t="s">
        <v>19</v>
      </c>
      <c r="H156" s="16">
        <v>41281</v>
      </c>
      <c r="I156" s="16">
        <v>44742</v>
      </c>
      <c r="J156" t="s">
        <v>20</v>
      </c>
      <c r="K156" t="s">
        <v>36</v>
      </c>
      <c r="L156" s="17">
        <v>273950000000</v>
      </c>
      <c r="M156" s="17">
        <v>20000000000</v>
      </c>
      <c r="N156" s="17"/>
      <c r="O156" s="17"/>
      <c r="P156" s="17">
        <v>19000000000</v>
      </c>
      <c r="Q156" s="17">
        <v>19000000000</v>
      </c>
      <c r="R156" s="17"/>
      <c r="S156" s="17"/>
      <c r="T156" s="17"/>
      <c r="U156" s="17"/>
      <c r="V156" s="17"/>
      <c r="W156" s="17">
        <v>312950000000</v>
      </c>
      <c r="X156" s="17">
        <v>9200000000000</v>
      </c>
      <c r="Y156" t="s">
        <v>434</v>
      </c>
    </row>
    <row r="157" spans="1:27" x14ac:dyDescent="0.25">
      <c r="A157" t="s">
        <v>424</v>
      </c>
      <c r="B157" t="s">
        <v>433</v>
      </c>
      <c r="C157" t="str">
        <f>VLOOKUP(MasterTable[[#This Row],[Project Code and Name ]],PAProjects[LINKING_CODE],1,FALSE)</f>
        <v>1097 New Standard Gauge Railway Line</v>
      </c>
      <c r="D157" t="s">
        <v>99</v>
      </c>
      <c r="E157" t="str">
        <f>VLOOKUP(MasterTable[[#This Row],[Vote]],'MTEF 21-22'!A:B,2,FALSE)</f>
        <v>Ministry of Works and Transport</v>
      </c>
      <c r="F157" t="str">
        <f>CONCATENATE(MasterTable[[#This Row],[Vote]]," ",MasterTable[[#This Row],[Vote Name]])</f>
        <v>016 Ministry of Works and Transport</v>
      </c>
      <c r="G157" t="s">
        <v>25</v>
      </c>
      <c r="H157" s="16">
        <v>41281</v>
      </c>
      <c r="I157" s="16">
        <v>44742</v>
      </c>
      <c r="J157" t="s">
        <v>20</v>
      </c>
      <c r="K157" t="s">
        <v>36</v>
      </c>
      <c r="L157" s="17">
        <v>0</v>
      </c>
      <c r="M157" s="17">
        <v>0</v>
      </c>
      <c r="N157" s="17"/>
      <c r="O157" s="17"/>
      <c r="P157" s="17">
        <v>0</v>
      </c>
      <c r="Q157" s="17">
        <v>0</v>
      </c>
      <c r="R157" s="17"/>
      <c r="S157" s="17"/>
      <c r="T157" s="17"/>
      <c r="U157" s="17"/>
      <c r="V157" s="17"/>
      <c r="W157" s="17">
        <v>0</v>
      </c>
      <c r="X157" s="17"/>
    </row>
    <row r="158" spans="1:27" x14ac:dyDescent="0.25">
      <c r="A158" t="s">
        <v>424</v>
      </c>
      <c r="B158" t="s">
        <v>435</v>
      </c>
      <c r="C158" t="str">
        <f>VLOOKUP(MasterTable[[#This Row],[Project Code and Name ]],PAProjects[LINKING_CODE],1,FALSE)</f>
        <v>1096 Support to Computerised Driving Permits</v>
      </c>
      <c r="D158" t="s">
        <v>99</v>
      </c>
      <c r="E158" t="str">
        <f>VLOOKUP(MasterTable[[#This Row],[Vote]],'MTEF 21-22'!A:B,2,FALSE)</f>
        <v>Ministry of Works and Transport</v>
      </c>
      <c r="F158" t="str">
        <f>CONCATENATE(MasterTable[[#This Row],[Vote]]," ",MasterTable[[#This Row],[Vote Name]])</f>
        <v>016 Ministry of Works and Transport</v>
      </c>
      <c r="G158" t="s">
        <v>19</v>
      </c>
      <c r="H158" s="16">
        <v>41281</v>
      </c>
      <c r="I158" s="46"/>
      <c r="J158" t="s">
        <v>20</v>
      </c>
      <c r="K158" t="s">
        <v>36</v>
      </c>
      <c r="L158" s="17">
        <v>42980000000</v>
      </c>
      <c r="M158" s="17">
        <v>30200000000</v>
      </c>
      <c r="N158" s="17"/>
      <c r="O158" s="17"/>
      <c r="P158" s="17">
        <v>29200000000</v>
      </c>
      <c r="Q158" s="17">
        <v>29200000000</v>
      </c>
      <c r="R158" s="17">
        <v>0</v>
      </c>
      <c r="S158" s="17">
        <v>0</v>
      </c>
      <c r="T158" s="17">
        <v>0</v>
      </c>
      <c r="U158" s="17"/>
      <c r="V158" s="17"/>
      <c r="W158" s="17">
        <v>102380000000</v>
      </c>
      <c r="X158" s="17">
        <v>119570000000</v>
      </c>
    </row>
    <row r="159" spans="1:27" x14ac:dyDescent="0.25">
      <c r="A159" t="s">
        <v>424</v>
      </c>
      <c r="B159" s="18" t="s">
        <v>436</v>
      </c>
      <c r="C159" t="e">
        <f>VLOOKUP(MasterTable[[#This Row],[Project Code and Name ]],PAProjects[LINKING_CODE],1,FALSE)</f>
        <v>#N/A</v>
      </c>
      <c r="D159" s="86" t="s">
        <v>99</v>
      </c>
      <c r="E159" t="str">
        <f>VLOOKUP(MasterTable[[#This Row],[Vote]],'MTEF 21-22'!A:B,2,FALSE)</f>
        <v>Ministry of Works and Transport</v>
      </c>
      <c r="F159" t="str">
        <f>CONCATENATE(MasterTable[[#This Row],[Vote]]," ",MasterTable[[#This Row],[Vote Name]])</f>
        <v>016 Ministry of Works and Transport</v>
      </c>
      <c r="G159" t="s">
        <v>19</v>
      </c>
      <c r="H159" s="16">
        <v>42742</v>
      </c>
      <c r="I159" s="16">
        <v>44742</v>
      </c>
      <c r="J159" t="s">
        <v>20</v>
      </c>
      <c r="K159" t="s">
        <v>36</v>
      </c>
      <c r="L159" s="17">
        <v>340000000</v>
      </c>
      <c r="M159" s="17">
        <v>500000000</v>
      </c>
      <c r="N159" s="17"/>
      <c r="O159" s="17"/>
      <c r="P159" s="17">
        <v>500000000</v>
      </c>
      <c r="Q159" s="17">
        <v>500000000</v>
      </c>
      <c r="R159" s="17">
        <v>0</v>
      </c>
      <c r="S159" s="17">
        <v>0</v>
      </c>
      <c r="T159" s="17">
        <v>0</v>
      </c>
      <c r="U159" s="17"/>
      <c r="V159" s="17"/>
      <c r="W159" s="17">
        <v>1340000000</v>
      </c>
      <c r="X159" s="17">
        <v>1831210000000</v>
      </c>
    </row>
    <row r="160" spans="1:27" x14ac:dyDescent="0.25">
      <c r="A160" t="s">
        <v>424</v>
      </c>
      <c r="B160" t="s">
        <v>437</v>
      </c>
      <c r="C160" t="str">
        <f>VLOOKUP(MasterTable[[#This Row],[Project Code and Name ]],PAProjects[LINKING_CODE],1,FALSE)</f>
        <v>1512 Uganda National Airline Project</v>
      </c>
      <c r="D160" t="s">
        <v>99</v>
      </c>
      <c r="E160" t="str">
        <f>VLOOKUP(MasterTable[[#This Row],[Vote]],'MTEF 21-22'!A:B,2,FALSE)</f>
        <v>Ministry of Works and Transport</v>
      </c>
      <c r="F160" t="str">
        <f>CONCATENATE(MasterTable[[#This Row],[Vote]]," ",MasterTable[[#This Row],[Vote Name]])</f>
        <v>016 Ministry of Works and Transport</v>
      </c>
      <c r="G160" t="s">
        <v>19</v>
      </c>
      <c r="H160" s="16">
        <v>43107</v>
      </c>
      <c r="I160" s="46"/>
      <c r="J160" t="s">
        <v>20</v>
      </c>
      <c r="K160" t="s">
        <v>36</v>
      </c>
      <c r="L160" s="17">
        <v>935040000000</v>
      </c>
      <c r="M160" s="17">
        <v>543230000000</v>
      </c>
      <c r="N160" s="17"/>
      <c r="O160" s="17"/>
      <c r="P160" s="17">
        <v>142737000000</v>
      </c>
      <c r="Q160" s="17">
        <v>142737000000</v>
      </c>
      <c r="R160" s="17">
        <v>19000000000</v>
      </c>
      <c r="S160" s="17">
        <v>0</v>
      </c>
      <c r="T160" s="17">
        <v>0</v>
      </c>
      <c r="U160" s="17"/>
      <c r="V160" s="17"/>
      <c r="W160" s="17">
        <v>1640007000000</v>
      </c>
      <c r="X160" s="17">
        <v>1668220000000</v>
      </c>
      <c r="Y160" t="s">
        <v>438</v>
      </c>
    </row>
    <row r="161" spans="1:27" x14ac:dyDescent="0.25">
      <c r="A161" t="s">
        <v>424</v>
      </c>
      <c r="B161" t="s">
        <v>439</v>
      </c>
      <c r="C161" t="str">
        <f>VLOOKUP(MasterTable[[#This Row],[Project Code and Name ]],PAProjects[LINKING_CODE],1,FALSE)</f>
        <v>1421 Development of the Construction Industry</v>
      </c>
      <c r="D161" t="s">
        <v>99</v>
      </c>
      <c r="E161" t="str">
        <f>VLOOKUP(MasterTable[[#This Row],[Vote]],'MTEF 21-22'!A:B,2,FALSE)</f>
        <v>Ministry of Works and Transport</v>
      </c>
      <c r="F161" t="str">
        <f>CONCATENATE(MasterTable[[#This Row],[Vote]]," ",MasterTable[[#This Row],[Vote Name]])</f>
        <v>016 Ministry of Works and Transport</v>
      </c>
      <c r="G161" t="s">
        <v>19</v>
      </c>
      <c r="H161" s="16">
        <v>42552</v>
      </c>
      <c r="I161" s="46"/>
      <c r="J161" t="s">
        <v>20</v>
      </c>
      <c r="K161" t="s">
        <v>36</v>
      </c>
      <c r="L161" s="17">
        <v>12970000000</v>
      </c>
      <c r="M161" s="17">
        <v>10140000000</v>
      </c>
      <c r="N161" s="17"/>
      <c r="O161" s="17"/>
      <c r="P161" s="17">
        <v>10740000000</v>
      </c>
      <c r="Q161" s="17">
        <v>10740000000</v>
      </c>
      <c r="R161" s="17">
        <v>12000000000</v>
      </c>
      <c r="S161" s="17">
        <v>0</v>
      </c>
      <c r="T161" s="17">
        <v>0</v>
      </c>
      <c r="U161" s="17"/>
      <c r="V161" s="17"/>
      <c r="W161" s="17">
        <v>45850000000</v>
      </c>
      <c r="X161" s="17">
        <v>63000000000</v>
      </c>
    </row>
    <row r="162" spans="1:27" x14ac:dyDescent="0.25">
      <c r="A162" t="s">
        <v>424</v>
      </c>
      <c r="B162" t="s">
        <v>440</v>
      </c>
      <c r="C162" t="str">
        <f>VLOOKUP(MasterTable[[#This Row],[Project Code and Name ]],PAProjects[LINKING_CODE],1,FALSE)</f>
        <v>1558 Rural Bridges Infrastructure Development</v>
      </c>
      <c r="D162" t="s">
        <v>99</v>
      </c>
      <c r="E162" t="str">
        <f>VLOOKUP(MasterTable[[#This Row],[Vote]],'MTEF 21-22'!A:B,2,FALSE)</f>
        <v>Ministry of Works and Transport</v>
      </c>
      <c r="F162" t="str">
        <f>CONCATENATE(MasterTable[[#This Row],[Vote]]," ",MasterTable[[#This Row],[Vote Name]])</f>
        <v>016 Ministry of Works and Transport</v>
      </c>
      <c r="G162" t="s">
        <v>19</v>
      </c>
      <c r="H162" s="16">
        <v>43472</v>
      </c>
      <c r="I162" s="46"/>
      <c r="J162" t="s">
        <v>20</v>
      </c>
      <c r="K162" t="s">
        <v>36</v>
      </c>
      <c r="L162" s="17">
        <v>15410000000</v>
      </c>
      <c r="M162" s="17">
        <v>31900000000</v>
      </c>
      <c r="N162" s="17"/>
      <c r="O162" s="17"/>
      <c r="P162" s="17">
        <v>21300000000</v>
      </c>
      <c r="Q162" s="17">
        <v>21300000000</v>
      </c>
      <c r="R162" s="17">
        <v>80000000000</v>
      </c>
      <c r="S162" s="17">
        <v>100000000000</v>
      </c>
      <c r="T162" s="17">
        <v>0</v>
      </c>
      <c r="U162" s="17"/>
      <c r="V162" s="17"/>
      <c r="W162" s="17">
        <v>248610000000</v>
      </c>
      <c r="X162" s="17">
        <v>300000000000</v>
      </c>
    </row>
    <row r="163" spans="1:27" x14ac:dyDescent="0.25">
      <c r="A163" t="s">
        <v>424</v>
      </c>
      <c r="B163" t="s">
        <v>441</v>
      </c>
      <c r="C163" t="str">
        <f>VLOOKUP(MasterTable[[#This Row],[Project Code and Name ]],PAProjects[LINKING_CODE],1,FALSE)</f>
        <v xml:space="preserve">1563 URC Capacity Building Project </v>
      </c>
      <c r="D163" t="s">
        <v>99</v>
      </c>
      <c r="E163" t="str">
        <f>VLOOKUP(MasterTable[[#This Row],[Vote]],'MTEF 21-22'!A:B,2,FALSE)</f>
        <v>Ministry of Works and Transport</v>
      </c>
      <c r="F163" t="str">
        <f>CONCATENATE(MasterTable[[#This Row],[Vote]]," ",MasterTable[[#This Row],[Vote Name]])</f>
        <v>016 Ministry of Works and Transport</v>
      </c>
      <c r="G163" t="s">
        <v>19</v>
      </c>
      <c r="H163" s="16">
        <v>43837</v>
      </c>
      <c r="I163" s="16">
        <v>46203</v>
      </c>
      <c r="J163" t="s">
        <v>20</v>
      </c>
      <c r="K163" t="s">
        <v>36</v>
      </c>
      <c r="L163" s="17">
        <v>0</v>
      </c>
      <c r="M163" s="17">
        <v>2000000000</v>
      </c>
      <c r="N163" s="17"/>
      <c r="O163" s="17"/>
      <c r="P163" s="17">
        <v>2000000000</v>
      </c>
      <c r="Q163" s="17">
        <v>2000000000</v>
      </c>
      <c r="R163" s="17">
        <v>10000000000</v>
      </c>
      <c r="S163" s="17">
        <v>6000000000</v>
      </c>
      <c r="T163" s="17">
        <v>8000000000</v>
      </c>
      <c r="U163" s="17">
        <v>4000000000</v>
      </c>
      <c r="V163" s="17"/>
      <c r="W163" s="17">
        <v>32000000000</v>
      </c>
      <c r="X163" s="17">
        <v>77760000000</v>
      </c>
    </row>
    <row r="164" spans="1:27" x14ac:dyDescent="0.25">
      <c r="A164" t="s">
        <v>424</v>
      </c>
      <c r="B164" t="s">
        <v>441</v>
      </c>
      <c r="C164" t="str">
        <f>VLOOKUP(MasterTable[[#This Row],[Project Code and Name ]],PAProjects[LINKING_CODE],1,FALSE)</f>
        <v xml:space="preserve">1563 URC Capacity Building Project </v>
      </c>
      <c r="D164" t="s">
        <v>99</v>
      </c>
      <c r="E164" t="str">
        <f>VLOOKUP(MasterTable[[#This Row],[Vote]],'MTEF 21-22'!A:B,2,FALSE)</f>
        <v>Ministry of Works and Transport</v>
      </c>
      <c r="F164" t="str">
        <f>CONCATENATE(MasterTable[[#This Row],[Vote]]," ",MasterTable[[#This Row],[Vote Name]])</f>
        <v>016 Ministry of Works and Transport</v>
      </c>
      <c r="G164" t="s">
        <v>25</v>
      </c>
      <c r="H164" s="16">
        <v>43837</v>
      </c>
      <c r="I164" s="16">
        <v>46203</v>
      </c>
      <c r="J164" t="s">
        <v>20</v>
      </c>
      <c r="K164" t="s">
        <v>36</v>
      </c>
      <c r="L164" s="17">
        <v>0</v>
      </c>
      <c r="M164" s="17">
        <v>49890000000</v>
      </c>
      <c r="N164" s="17"/>
      <c r="O164" s="17"/>
      <c r="P164" s="17">
        <v>40494000000</v>
      </c>
      <c r="Q164" s="17"/>
      <c r="R164" s="17">
        <v>265950000000</v>
      </c>
      <c r="S164" s="17">
        <v>271006672860</v>
      </c>
      <c r="T164" s="17">
        <v>391504940640</v>
      </c>
      <c r="U164" s="17">
        <v>264918343166</v>
      </c>
      <c r="V164" s="17"/>
      <c r="W164" s="17">
        <v>1243269956666</v>
      </c>
      <c r="X164" s="17">
        <v>1407330000000</v>
      </c>
      <c r="Y164" t="s">
        <v>430</v>
      </c>
    </row>
    <row r="165" spans="1:27" x14ac:dyDescent="0.25">
      <c r="A165" t="s">
        <v>424</v>
      </c>
      <c r="B165" t="s">
        <v>442</v>
      </c>
      <c r="C165" t="str">
        <f>VLOOKUP(MasterTable[[#This Row],[Project Code and Name ]],PAProjects[LINKING_CODE],1,FALSE)</f>
        <v>1564 Community Roads Improvement Project</v>
      </c>
      <c r="D165" t="s">
        <v>99</v>
      </c>
      <c r="E165" t="str">
        <f>VLOOKUP(MasterTable[[#This Row],[Vote]],'MTEF 21-22'!A:B,2,FALSE)</f>
        <v>Ministry of Works and Transport</v>
      </c>
      <c r="F165" t="str">
        <f>CONCATENATE(MasterTable[[#This Row],[Vote]]," ",MasterTable[[#This Row],[Vote Name]])</f>
        <v>016 Ministry of Works and Transport</v>
      </c>
      <c r="G165" t="s">
        <v>19</v>
      </c>
      <c r="H165" s="16">
        <v>44378</v>
      </c>
      <c r="I165" s="16">
        <v>45838</v>
      </c>
      <c r="J165" t="s">
        <v>20</v>
      </c>
      <c r="K165" t="s">
        <v>36</v>
      </c>
      <c r="L165" s="17"/>
      <c r="M165" s="17">
        <v>85770000000</v>
      </c>
      <c r="N165" s="17">
        <v>0</v>
      </c>
      <c r="O165" s="17"/>
      <c r="P165" s="17">
        <v>50000000000</v>
      </c>
      <c r="Q165" s="17">
        <v>50000000000</v>
      </c>
      <c r="R165" s="17">
        <v>98656000000</v>
      </c>
      <c r="S165" s="17">
        <v>78328000000</v>
      </c>
      <c r="T165" s="17">
        <v>78328000000</v>
      </c>
      <c r="U165" s="17"/>
      <c r="V165" s="17"/>
      <c r="W165" s="17">
        <v>391082000000</v>
      </c>
      <c r="X165" s="17">
        <v>391600000000</v>
      </c>
    </row>
    <row r="166" spans="1:27" x14ac:dyDescent="0.25">
      <c r="A166" t="s">
        <v>424</v>
      </c>
      <c r="B166" t="s">
        <v>443</v>
      </c>
      <c r="C166" t="str">
        <f>VLOOKUP(MasterTable[[#This Row],[Project Code and Name ]],PAProjects[LINKING_CODE],1,FALSE)</f>
        <v>1617 Retooling of Ministry of Works and Transport</v>
      </c>
      <c r="D166" t="s">
        <v>99</v>
      </c>
      <c r="E166" t="str">
        <f>VLOOKUP(MasterTable[[#This Row],[Vote]],'MTEF 21-22'!A:B,2,FALSE)</f>
        <v>Ministry of Works and Transport</v>
      </c>
      <c r="F166" t="str">
        <f>CONCATENATE(MasterTable[[#This Row],[Vote]]," ",MasterTable[[#This Row],[Vote Name]])</f>
        <v>016 Ministry of Works and Transport</v>
      </c>
      <c r="G166" t="s">
        <v>19</v>
      </c>
      <c r="H166" s="16">
        <v>43837</v>
      </c>
      <c r="I166" s="46"/>
      <c r="J166" t="s">
        <v>20</v>
      </c>
      <c r="K166" t="s">
        <v>21</v>
      </c>
      <c r="L166" s="17">
        <v>0</v>
      </c>
      <c r="M166" s="17">
        <v>6160000000</v>
      </c>
      <c r="N166" s="17"/>
      <c r="O166" s="17"/>
      <c r="P166" s="17">
        <v>6560000000</v>
      </c>
      <c r="Q166" s="17">
        <v>6560000000</v>
      </c>
      <c r="R166" s="17">
        <v>40000000000</v>
      </c>
      <c r="S166" s="17">
        <v>38000000000</v>
      </c>
      <c r="T166" s="17">
        <v>14250000000</v>
      </c>
      <c r="U166" s="17"/>
      <c r="V166" s="17"/>
      <c r="W166" s="17">
        <v>104970000000</v>
      </c>
      <c r="X166" s="17">
        <v>105000000000</v>
      </c>
    </row>
    <row r="167" spans="1:27" x14ac:dyDescent="0.25">
      <c r="A167" t="s">
        <v>424</v>
      </c>
      <c r="B167" t="s">
        <v>444</v>
      </c>
      <c r="C167" t="str">
        <f>VLOOKUP(MasterTable[[#This Row],[Project Code and Name ]],PAProjects[LINKING_CODE],1,FALSE)</f>
        <v>1659 Rehabilitation of the Tororo – Gulu railway line</v>
      </c>
      <c r="D167" t="s">
        <v>99</v>
      </c>
      <c r="E167" t="str">
        <f>VLOOKUP(MasterTable[[#This Row],[Vote]],'MTEF 21-22'!A:B,2,FALSE)</f>
        <v>Ministry of Works and Transport</v>
      </c>
      <c r="F167" t="str">
        <f>CONCATENATE(MasterTable[[#This Row],[Vote]]," ",MasterTable[[#This Row],[Vote Name]])</f>
        <v>016 Ministry of Works and Transport</v>
      </c>
      <c r="G167" t="s">
        <v>19</v>
      </c>
      <c r="H167" s="16">
        <v>43837</v>
      </c>
      <c r="I167" s="46"/>
      <c r="J167" t="s">
        <v>20</v>
      </c>
      <c r="K167" t="s">
        <v>36</v>
      </c>
      <c r="L167" s="17">
        <v>0</v>
      </c>
      <c r="M167" s="17">
        <v>2600000000</v>
      </c>
      <c r="N167" s="17"/>
      <c r="O167" s="17"/>
      <c r="P167" s="17">
        <v>6600000000</v>
      </c>
      <c r="Q167" s="17">
        <v>6600000000</v>
      </c>
      <c r="R167" s="17">
        <v>34160000000</v>
      </c>
      <c r="S167" s="17">
        <v>29000000000</v>
      </c>
      <c r="T167" s="17">
        <v>25155000000</v>
      </c>
      <c r="U167" s="17"/>
      <c r="V167" s="17"/>
      <c r="W167" s="17">
        <v>97515000000</v>
      </c>
      <c r="X167" s="17">
        <v>97515000000</v>
      </c>
    </row>
    <row r="168" spans="1:27" x14ac:dyDescent="0.25">
      <c r="A168" t="s">
        <v>424</v>
      </c>
      <c r="B168" t="s">
        <v>444</v>
      </c>
      <c r="C168" t="str">
        <f>VLOOKUP(MasterTable[[#This Row],[Project Code and Name ]],PAProjects[LINKING_CODE],1,FALSE)</f>
        <v>1659 Rehabilitation of the Tororo – Gulu railway line</v>
      </c>
      <c r="D168" t="s">
        <v>99</v>
      </c>
      <c r="E168" t="str">
        <f>VLOOKUP(MasterTable[[#This Row],[Vote]],'MTEF 21-22'!A:B,2,FALSE)</f>
        <v>Ministry of Works and Transport</v>
      </c>
      <c r="F168" t="str">
        <f>CONCATENATE(MasterTable[[#This Row],[Vote]]," ",MasterTable[[#This Row],[Vote Name]])</f>
        <v>016 Ministry of Works and Transport</v>
      </c>
      <c r="G168" t="s">
        <v>25</v>
      </c>
      <c r="H168" s="16">
        <v>43837</v>
      </c>
      <c r="I168" s="46"/>
      <c r="J168" t="s">
        <v>20</v>
      </c>
      <c r="K168" t="s">
        <v>36</v>
      </c>
      <c r="L168" s="17">
        <v>0</v>
      </c>
      <c r="M168" s="17">
        <v>16310000000</v>
      </c>
      <c r="N168" s="17"/>
      <c r="O168" s="17"/>
      <c r="P168" s="17">
        <v>21584000000</v>
      </c>
      <c r="Q168" s="17">
        <v>21584000000</v>
      </c>
      <c r="R168" s="17">
        <v>20696700000</v>
      </c>
      <c r="S168" s="17">
        <v>16932377500</v>
      </c>
      <c r="T168" s="17">
        <v>12811922500</v>
      </c>
      <c r="U168" s="17"/>
      <c r="V168" s="17"/>
      <c r="W168" s="17">
        <v>88335000000</v>
      </c>
      <c r="X168" s="17">
        <v>88335000000</v>
      </c>
      <c r="Y168" t="s">
        <v>430</v>
      </c>
    </row>
    <row r="169" spans="1:27" x14ac:dyDescent="0.25">
      <c r="A169" t="s">
        <v>424</v>
      </c>
      <c r="B169" t="s">
        <v>445</v>
      </c>
      <c r="C169" t="str">
        <f>VLOOKUP(MasterTable[[#This Row],[Project Code and Name ]],PAProjects[LINKING_CODE],1,FALSE)</f>
        <v>1703 Rehabilitation of District Roads Project</v>
      </c>
      <c r="D169" t="s">
        <v>99</v>
      </c>
      <c r="E169" t="str">
        <f>VLOOKUP(MasterTable[[#This Row],[Vote]],'MTEF 21-22'!A:B,2,FALSE)</f>
        <v>Ministry of Works and Transport</v>
      </c>
      <c r="F169" t="str">
        <f>CONCATENATE(MasterTable[[#This Row],[Vote]]," ",MasterTable[[#This Row],[Vote Name]])</f>
        <v>016 Ministry of Works and Transport</v>
      </c>
      <c r="G169" t="s">
        <v>19</v>
      </c>
      <c r="H169" s="16">
        <v>44203</v>
      </c>
      <c r="I169" s="46"/>
      <c r="J169" t="s">
        <v>40</v>
      </c>
      <c r="K169" t="s">
        <v>36</v>
      </c>
      <c r="L169" s="17">
        <v>0</v>
      </c>
      <c r="M169" s="17">
        <v>0</v>
      </c>
      <c r="N169" s="17">
        <v>0</v>
      </c>
      <c r="O169" s="17"/>
      <c r="P169" s="17">
        <v>80920000000</v>
      </c>
      <c r="Q169" s="17">
        <v>80920000000</v>
      </c>
      <c r="R169" s="17">
        <v>147340000000</v>
      </c>
      <c r="S169" s="17">
        <v>114990000000</v>
      </c>
      <c r="T169" s="17">
        <v>114990000000</v>
      </c>
      <c r="U169" s="17">
        <v>114120000000</v>
      </c>
      <c r="V169" s="17"/>
      <c r="W169" s="17">
        <v>572360000000</v>
      </c>
      <c r="X169" s="17">
        <v>572360000000</v>
      </c>
      <c r="Y169" t="s">
        <v>446</v>
      </c>
    </row>
    <row r="170" spans="1:27" x14ac:dyDescent="0.25">
      <c r="A170" t="s">
        <v>424</v>
      </c>
      <c r="B170" t="s">
        <v>447</v>
      </c>
      <c r="C170" t="str">
        <f>VLOOKUP(MasterTable[[#This Row],[Project Code and Name ]],PAProjects[LINKING_CODE],1,FALSE)</f>
        <v>1705 Rehabilitaion and Upgrading of Urban Roads Project</v>
      </c>
      <c r="D170" t="s">
        <v>99</v>
      </c>
      <c r="E170" t="str">
        <f>VLOOKUP(MasterTable[[#This Row],[Vote]],'MTEF 21-22'!A:B,2,FALSE)</f>
        <v>Ministry of Works and Transport</v>
      </c>
      <c r="F170" t="str">
        <f>CONCATENATE(MasterTable[[#This Row],[Vote]]," ",MasterTable[[#This Row],[Vote Name]])</f>
        <v>016 Ministry of Works and Transport</v>
      </c>
      <c r="G170" t="s">
        <v>19</v>
      </c>
      <c r="H170" s="16">
        <v>44203</v>
      </c>
      <c r="I170" s="46"/>
      <c r="J170" t="s">
        <v>40</v>
      </c>
      <c r="K170" t="s">
        <v>36</v>
      </c>
      <c r="L170" s="17">
        <v>0</v>
      </c>
      <c r="M170" s="17">
        <v>0</v>
      </c>
      <c r="N170" s="17">
        <v>0</v>
      </c>
      <c r="O170" s="17"/>
      <c r="P170" s="17">
        <v>14100000000</v>
      </c>
      <c r="Q170" s="17">
        <v>14100000000</v>
      </c>
      <c r="R170" s="17">
        <v>87443936312</v>
      </c>
      <c r="S170" s="17">
        <v>50771968156</v>
      </c>
      <c r="T170" s="17">
        <v>50771968156</v>
      </c>
      <c r="U170" s="17">
        <v>50771968156</v>
      </c>
      <c r="V170" s="17"/>
      <c r="W170" s="17">
        <v>253859840781</v>
      </c>
      <c r="X170" s="17">
        <v>253859840781</v>
      </c>
      <c r="Y170" t="s">
        <v>446</v>
      </c>
    </row>
    <row r="171" spans="1:27" x14ac:dyDescent="0.25">
      <c r="A171" t="s">
        <v>448</v>
      </c>
      <c r="B171" t="s">
        <v>449</v>
      </c>
      <c r="C171" t="str">
        <f>VLOOKUP(MasterTable[[#This Row],[Project Code and Name ]],PAProjects[LINKING_CODE],1,FALSE)</f>
        <v>1675 Retooling of Uganda National Bureau of Standards</v>
      </c>
      <c r="D171" t="s">
        <v>154</v>
      </c>
      <c r="E171" t="str">
        <f>VLOOKUP(MasterTable[[#This Row],[Vote]],'MTEF 21-22'!A:B,2,FALSE)</f>
        <v>Uganda National Bureau of Standards</v>
      </c>
      <c r="F171" t="str">
        <f>CONCATENATE(MasterTable[[#This Row],[Vote]]," ",MasterTable[[#This Row],[Vote Name]])</f>
        <v>154 Uganda National Bureau of Standards</v>
      </c>
      <c r="G171" t="s">
        <v>19</v>
      </c>
      <c r="H171" s="16">
        <v>44013</v>
      </c>
      <c r="I171" s="16">
        <v>45838</v>
      </c>
      <c r="J171" t="s">
        <v>450</v>
      </c>
      <c r="K171" t="s">
        <v>21</v>
      </c>
      <c r="L171" s="17">
        <v>0</v>
      </c>
      <c r="M171" s="17">
        <v>11652915228</v>
      </c>
      <c r="N171" s="17">
        <v>0</v>
      </c>
      <c r="O171" s="17">
        <v>0</v>
      </c>
      <c r="P171" s="17">
        <v>11652915228</v>
      </c>
      <c r="Q171" s="17">
        <v>11652915228</v>
      </c>
      <c r="R171" s="17">
        <v>11652915228</v>
      </c>
      <c r="S171" s="17">
        <v>11652915228</v>
      </c>
      <c r="T171" s="17">
        <v>11652915228</v>
      </c>
      <c r="U171" s="17">
        <v>0</v>
      </c>
      <c r="V171" s="17">
        <v>0</v>
      </c>
      <c r="W171" s="17">
        <v>58264576140</v>
      </c>
      <c r="X171" s="17"/>
      <c r="Y171" t="s">
        <v>451</v>
      </c>
      <c r="AA171" t="s">
        <v>23</v>
      </c>
    </row>
    <row r="172" spans="1:27" x14ac:dyDescent="0.25">
      <c r="A172" t="s">
        <v>452</v>
      </c>
      <c r="B172" t="s">
        <v>453</v>
      </c>
      <c r="C172" t="str">
        <f>VLOOKUP(MasterTable[[#This Row],[Project Code and Name ]],PAProjects[LINKING_CODE],1,FALSE)</f>
        <v>1676 Retooling of Uganda Tourism Board</v>
      </c>
      <c r="D172" t="s">
        <v>117</v>
      </c>
      <c r="E172" t="str">
        <f>VLOOKUP(MasterTable[[#This Row],[Vote]],'MTEF 21-22'!A:B,2,FALSE)</f>
        <v>Uganda Tourism Board</v>
      </c>
      <c r="F172" t="str">
        <f>CONCATENATE(MasterTable[[#This Row],[Vote]]," ",MasterTable[[#This Row],[Vote Name]])</f>
        <v>117 Uganda Tourism Board</v>
      </c>
      <c r="G172" t="s">
        <v>19</v>
      </c>
      <c r="H172" s="16">
        <v>44013</v>
      </c>
      <c r="I172" s="16">
        <v>45838</v>
      </c>
      <c r="J172" t="s">
        <v>20</v>
      </c>
      <c r="K172" t="s">
        <v>21</v>
      </c>
      <c r="L172" s="17"/>
      <c r="M172" s="17">
        <v>155000000</v>
      </c>
      <c r="N172" s="17">
        <v>60000000</v>
      </c>
      <c r="O172" s="17">
        <v>0</v>
      </c>
      <c r="P172" s="17">
        <v>4091000000</v>
      </c>
      <c r="Q172" s="17">
        <v>4744000000</v>
      </c>
      <c r="R172" s="17">
        <v>4192000000</v>
      </c>
      <c r="S172" s="17">
        <v>2551000000</v>
      </c>
      <c r="T172" s="17">
        <v>2873000000</v>
      </c>
      <c r="U172" s="17">
        <v>0</v>
      </c>
      <c r="V172" s="17">
        <v>0</v>
      </c>
      <c r="W172" s="17">
        <v>14515000000</v>
      </c>
      <c r="X172" s="17"/>
      <c r="Y172" t="s">
        <v>454</v>
      </c>
      <c r="AA172" t="s">
        <v>23</v>
      </c>
    </row>
    <row r="173" spans="1:27" x14ac:dyDescent="0.25">
      <c r="A173" s="1" t="s">
        <v>452</v>
      </c>
      <c r="B173" s="1" t="s">
        <v>369</v>
      </c>
      <c r="C173" s="1" t="str">
        <f>VLOOKUP(MasterTable[[#This Row],[Project Code and Name ]],PAProjects[LINKING_CODE],1,FALSE)</f>
        <v>1700 Mt. Rwenzori Tourism Infrastructure Development Project Phase II</v>
      </c>
      <c r="D173" s="1" t="s">
        <v>71</v>
      </c>
      <c r="E173" s="1" t="str">
        <f>VLOOKUP(MasterTable[[#This Row],[Vote]],'MTEF 21-22'!A:B,2,FALSE)</f>
        <v>Ministry of Tourism, Wildlife and Antiquities</v>
      </c>
      <c r="F173" s="1" t="str">
        <f>CONCATENATE(MasterTable[[#This Row],[Vote]]," ",MasterTable[[#This Row],[Vote Name]])</f>
        <v>022 Ministry of Tourism, Wildlife and Antiquities</v>
      </c>
      <c r="G173" s="1"/>
      <c r="H173" s="46"/>
      <c r="I173" s="46"/>
      <c r="J173" s="1"/>
      <c r="K173" s="1"/>
      <c r="L173" s="47"/>
      <c r="M173" s="47"/>
      <c r="N173" s="47"/>
      <c r="O173" s="47"/>
      <c r="P173" s="47">
        <v>4</v>
      </c>
      <c r="Q173" s="47">
        <v>4</v>
      </c>
      <c r="R173" s="47"/>
      <c r="S173" s="47"/>
      <c r="T173" s="47"/>
      <c r="U173" s="47">
        <v>0</v>
      </c>
      <c r="V173" s="47">
        <v>0</v>
      </c>
      <c r="W173" s="47">
        <v>4</v>
      </c>
      <c r="X173" s="47"/>
      <c r="Y173" s="1"/>
      <c r="Z173" s="1"/>
      <c r="AA173" s="1"/>
    </row>
    <row r="174" spans="1:27" x14ac:dyDescent="0.25">
      <c r="A174" s="1" t="s">
        <v>452</v>
      </c>
      <c r="B174" s="1" t="s">
        <v>370</v>
      </c>
      <c r="C174" s="1" t="str">
        <f>VLOOKUP(MasterTable[[#This Row],[Project Code and Name ]],PAProjects[LINKING_CODE],1,FALSE)</f>
        <v>1701 Development of Source of the Nile Project (Phase II)</v>
      </c>
      <c r="D174" s="1" t="s">
        <v>71</v>
      </c>
      <c r="E174" s="1" t="str">
        <f>VLOOKUP(MasterTable[[#This Row],[Vote]],'MTEF 21-22'!A:B,2,FALSE)</f>
        <v>Ministry of Tourism, Wildlife and Antiquities</v>
      </c>
      <c r="F174" s="1" t="str">
        <f>CONCATENATE(MasterTable[[#This Row],[Vote]]," ",MasterTable[[#This Row],[Vote Name]])</f>
        <v>022 Ministry of Tourism, Wildlife and Antiquities</v>
      </c>
      <c r="G174" s="1"/>
      <c r="H174" s="46"/>
      <c r="I174" s="46"/>
      <c r="J174" s="1"/>
      <c r="K174" s="1"/>
      <c r="L174" s="47"/>
      <c r="M174" s="47"/>
      <c r="N174" s="47"/>
      <c r="O174" s="47"/>
      <c r="P174" s="47">
        <v>4</v>
      </c>
      <c r="Q174" s="47">
        <v>4</v>
      </c>
      <c r="R174" s="47">
        <v>0</v>
      </c>
      <c r="S174" s="47">
        <v>0</v>
      </c>
      <c r="T174" s="47">
        <v>0</v>
      </c>
      <c r="U174" s="47">
        <v>0</v>
      </c>
      <c r="V174" s="47">
        <v>0</v>
      </c>
      <c r="W174" s="47">
        <v>4</v>
      </c>
      <c r="X174" s="47"/>
      <c r="Y174" s="1"/>
      <c r="Z174" s="1"/>
      <c r="AA174" s="1"/>
    </row>
    <row r="175" spans="1:27" x14ac:dyDescent="0.25">
      <c r="A175" t="s">
        <v>455</v>
      </c>
      <c r="B175" t="s">
        <v>456</v>
      </c>
      <c r="C175" t="str">
        <f>VLOOKUP(MasterTable[[#This Row],[Project Code and Name ]],PAProjects[LINKING_CODE],1,FALSE)</f>
        <v>1241 Development of Uganda Petroleum Institute Kigumba</v>
      </c>
      <c r="D175" t="s">
        <v>961</v>
      </c>
      <c r="E175" t="str">
        <f>VLOOKUP(MasterTable[[#This Row],[Vote]],'MTEF 21-22'!A:B,2,FALSE)</f>
        <v>Ministry of Education and Sports</v>
      </c>
      <c r="F175" t="str">
        <f>CONCATENATE(MasterTable[[#This Row],[Vote]]," ",MasterTable[[#This Row],[Vote Name]])</f>
        <v>013 Ministry of Education and Sports</v>
      </c>
      <c r="G175" t="s">
        <v>19</v>
      </c>
      <c r="H175" s="16">
        <v>42011</v>
      </c>
      <c r="I175" s="16">
        <v>44742</v>
      </c>
      <c r="J175" t="s">
        <v>20</v>
      </c>
      <c r="K175" t="s">
        <v>36</v>
      </c>
      <c r="L175" s="17">
        <v>38178000000</v>
      </c>
      <c r="M175" s="17">
        <v>5000000000</v>
      </c>
      <c r="N175" s="17">
        <v>4060000000</v>
      </c>
      <c r="O175" s="17"/>
      <c r="P175" s="17">
        <v>10000000000</v>
      </c>
      <c r="Q175" s="17">
        <v>14060000000</v>
      </c>
      <c r="R175" s="17">
        <v>0</v>
      </c>
      <c r="S175" s="17">
        <v>0</v>
      </c>
      <c r="T175" s="17">
        <v>0</v>
      </c>
      <c r="U175" s="17">
        <v>0</v>
      </c>
      <c r="V175" s="17">
        <v>0</v>
      </c>
      <c r="W175" s="17">
        <v>57238000000</v>
      </c>
      <c r="X175" s="17"/>
      <c r="Y175" t="s">
        <v>457</v>
      </c>
      <c r="AA175" t="s">
        <v>23</v>
      </c>
    </row>
    <row r="176" spans="1:27" x14ac:dyDescent="0.25">
      <c r="A176" t="s">
        <v>455</v>
      </c>
      <c r="B176" t="s">
        <v>458</v>
      </c>
      <c r="C176" t="str">
        <f>VLOOKUP(MasterTable[[#This Row],[Project Code and Name ]],PAProjects[LINKING_CODE],1,FALSE)</f>
        <v>1308 Development and Improvement of Special Needs Education (SNE)</v>
      </c>
      <c r="D176" t="s">
        <v>961</v>
      </c>
      <c r="E176" t="str">
        <f>VLOOKUP(MasterTable[[#This Row],[Vote]],'MTEF 21-22'!A:B,2,FALSE)</f>
        <v>Ministry of Education and Sports</v>
      </c>
      <c r="F176" t="str">
        <f>CONCATENATE(MasterTable[[#This Row],[Vote]]," ",MasterTable[[#This Row],[Vote Name]])</f>
        <v>013 Ministry of Education and Sports</v>
      </c>
      <c r="G176" t="s">
        <v>19</v>
      </c>
      <c r="H176" s="16">
        <v>41646</v>
      </c>
      <c r="I176" s="16">
        <v>44742</v>
      </c>
      <c r="J176" t="s">
        <v>20</v>
      </c>
      <c r="K176" t="s">
        <v>36</v>
      </c>
      <c r="L176" s="17">
        <v>9150000000</v>
      </c>
      <c r="M176" s="17">
        <v>2700000000</v>
      </c>
      <c r="N176" s="17">
        <v>0</v>
      </c>
      <c r="O176" s="17">
        <v>0</v>
      </c>
      <c r="P176" s="17">
        <v>2700000000</v>
      </c>
      <c r="Q176" s="17">
        <v>2700000000</v>
      </c>
      <c r="R176" s="17">
        <v>0</v>
      </c>
      <c r="S176" s="17">
        <v>0</v>
      </c>
      <c r="T176" s="17">
        <v>0</v>
      </c>
      <c r="U176" s="17">
        <v>0</v>
      </c>
      <c r="V176" s="17"/>
      <c r="W176" s="17">
        <v>14550000000</v>
      </c>
      <c r="X176" s="17"/>
      <c r="AA176" t="s">
        <v>28</v>
      </c>
    </row>
    <row r="177" spans="1:25" x14ac:dyDescent="0.25">
      <c r="A177" t="s">
        <v>455</v>
      </c>
      <c r="B177" s="18" t="s">
        <v>1297</v>
      </c>
      <c r="C177" s="18" t="str">
        <f>VLOOKUP(MasterTable[[#This Row],[Project Code and Name ]],PAProjects[LINKING_CODE],1,FALSE)</f>
        <v>1310 Albertine Region Sustainable Development Project -013</v>
      </c>
      <c r="D177" s="18" t="s">
        <v>961</v>
      </c>
      <c r="E177" s="18" t="str">
        <f>VLOOKUP(MasterTable[[#This Row],[Vote]],'MTEF 21-22'!A:B,2,FALSE)</f>
        <v>Ministry of Education and Sports</v>
      </c>
      <c r="F177" s="18" t="str">
        <f>CONCATENATE(MasterTable[[#This Row],[Vote]]," ",MasterTable[[#This Row],[Vote Name]])</f>
        <v>013 Ministry of Education and Sports</v>
      </c>
      <c r="G177" t="s">
        <v>25</v>
      </c>
      <c r="H177" s="16">
        <v>41646</v>
      </c>
      <c r="I177" s="16">
        <v>44742</v>
      </c>
      <c r="J177" t="s">
        <v>20</v>
      </c>
      <c r="K177" t="s">
        <v>36</v>
      </c>
      <c r="L177" s="17">
        <v>76059382500</v>
      </c>
      <c r="M177" s="17">
        <v>41330000000</v>
      </c>
      <c r="N177" s="17">
        <v>0</v>
      </c>
      <c r="O177" s="17">
        <v>0</v>
      </c>
      <c r="P177" s="17">
        <v>17764953750</v>
      </c>
      <c r="Q177" s="17">
        <v>17764953750</v>
      </c>
      <c r="R177" s="17">
        <v>0</v>
      </c>
      <c r="S177" s="17">
        <v>0</v>
      </c>
      <c r="T177" s="17">
        <v>0</v>
      </c>
      <c r="U177" s="17">
        <v>0</v>
      </c>
      <c r="V177" s="17">
        <v>0</v>
      </c>
      <c r="W177" s="17">
        <v>135154336250</v>
      </c>
      <c r="X177" s="17"/>
    </row>
    <row r="178" spans="1:25" x14ac:dyDescent="0.25">
      <c r="A178" t="s">
        <v>455</v>
      </c>
      <c r="B178" s="18" t="s">
        <v>1297</v>
      </c>
      <c r="C178" s="18" t="str">
        <f>VLOOKUP(MasterTable[[#This Row],[Project Code and Name ]],PAProjects[LINKING_CODE],1,FALSE)</f>
        <v>1310 Albertine Region Sustainable Development Project -013</v>
      </c>
      <c r="D178" s="18" t="s">
        <v>961</v>
      </c>
      <c r="E178" s="18" t="str">
        <f>VLOOKUP(MasterTable[[#This Row],[Vote]],'MTEF 21-22'!A:B,2,FALSE)</f>
        <v>Ministry of Education and Sports</v>
      </c>
      <c r="F178" s="18" t="str">
        <f>CONCATENATE(MasterTable[[#This Row],[Vote]]," ",MasterTable[[#This Row],[Vote Name]])</f>
        <v>013 Ministry of Education and Sports</v>
      </c>
      <c r="G178" t="s">
        <v>19</v>
      </c>
      <c r="H178" s="16">
        <v>41646</v>
      </c>
      <c r="I178" s="16">
        <v>44742</v>
      </c>
      <c r="J178" t="s">
        <v>20</v>
      </c>
      <c r="K178" t="s">
        <v>36</v>
      </c>
      <c r="L178" s="17">
        <v>6361243705</v>
      </c>
      <c r="M178" s="17">
        <v>2950000000</v>
      </c>
      <c r="N178" s="17">
        <v>0</v>
      </c>
      <c r="O178" s="17">
        <v>0</v>
      </c>
      <c r="P178" s="17">
        <v>838756295</v>
      </c>
      <c r="Q178" s="17">
        <v>838756295</v>
      </c>
      <c r="R178" s="17">
        <v>0</v>
      </c>
      <c r="S178" s="17">
        <v>0</v>
      </c>
      <c r="T178" s="17">
        <v>0</v>
      </c>
      <c r="U178" s="17">
        <v>0</v>
      </c>
      <c r="V178" s="17">
        <v>0</v>
      </c>
      <c r="W178" s="17">
        <v>10150000000</v>
      </c>
      <c r="X178" s="17"/>
      <c r="Y178" t="s">
        <v>459</v>
      </c>
    </row>
    <row r="179" spans="1:25" x14ac:dyDescent="0.25">
      <c r="A179" t="s">
        <v>455</v>
      </c>
      <c r="B179" t="s">
        <v>1480</v>
      </c>
      <c r="C179" t="str">
        <f>VLOOKUP(MasterTable[[#This Row],[Project Code and Name ]],PAProjects[LINKING_CODE],1,FALSE)</f>
        <v>1338 Skills Development Project -013</v>
      </c>
      <c r="D179" t="s">
        <v>961</v>
      </c>
      <c r="E179" t="str">
        <f>VLOOKUP(MasterTable[[#This Row],[Vote]],'MTEF 21-22'!A:B,2,FALSE)</f>
        <v>Ministry of Education and Sports</v>
      </c>
      <c r="F179" t="str">
        <f>CONCATENATE(MasterTable[[#This Row],[Vote]]," ",MasterTable[[#This Row],[Vote Name]])</f>
        <v>013 Ministry of Education and Sports</v>
      </c>
      <c r="G179" t="s">
        <v>19</v>
      </c>
      <c r="H179" s="16">
        <v>42011</v>
      </c>
      <c r="I179" s="16">
        <v>44742</v>
      </c>
      <c r="J179" t="s">
        <v>20</v>
      </c>
      <c r="K179" t="s">
        <v>36</v>
      </c>
      <c r="L179" s="17">
        <v>15370000000</v>
      </c>
      <c r="M179" s="17">
        <v>0</v>
      </c>
      <c r="N179" s="17">
        <v>0</v>
      </c>
      <c r="O179" s="17">
        <v>0</v>
      </c>
      <c r="P179" s="17">
        <v>0</v>
      </c>
      <c r="Q179" s="17"/>
      <c r="R179" s="17">
        <v>0</v>
      </c>
      <c r="S179" s="17">
        <v>0</v>
      </c>
      <c r="T179" s="17">
        <v>0</v>
      </c>
      <c r="U179" s="17">
        <v>0</v>
      </c>
      <c r="V179" s="17"/>
      <c r="W179" s="17">
        <v>15370000000</v>
      </c>
      <c r="X179" s="17"/>
    </row>
    <row r="180" spans="1:25" x14ac:dyDescent="0.25">
      <c r="A180" t="s">
        <v>455</v>
      </c>
      <c r="B180" t="s">
        <v>1480</v>
      </c>
      <c r="C180" t="str">
        <f>VLOOKUP(MasterTable[[#This Row],[Project Code and Name ]],PAProjects[LINKING_CODE],1,FALSE)</f>
        <v>1338 Skills Development Project -013</v>
      </c>
      <c r="D180" t="s">
        <v>961</v>
      </c>
      <c r="E180" t="str">
        <f>VLOOKUP(MasterTable[[#This Row],[Vote]],'MTEF 21-22'!A:B,2,FALSE)</f>
        <v>Ministry of Education and Sports</v>
      </c>
      <c r="F180" t="str">
        <f>CONCATENATE(MasterTable[[#This Row],[Vote]]," ",MasterTable[[#This Row],[Vote Name]])</f>
        <v>013 Ministry of Education and Sports</v>
      </c>
      <c r="G180" t="s">
        <v>25</v>
      </c>
      <c r="H180" s="16">
        <v>42011</v>
      </c>
      <c r="I180" s="16">
        <v>44742</v>
      </c>
      <c r="J180" t="s">
        <v>20</v>
      </c>
      <c r="K180" t="s">
        <v>36</v>
      </c>
      <c r="L180" s="17">
        <v>192501000000</v>
      </c>
      <c r="M180" s="17">
        <v>58820000000</v>
      </c>
      <c r="N180" s="17">
        <v>0</v>
      </c>
      <c r="O180" s="17"/>
      <c r="P180" s="17">
        <v>89938286250</v>
      </c>
      <c r="Q180" s="17">
        <v>89938286250</v>
      </c>
      <c r="R180" s="17">
        <v>0</v>
      </c>
      <c r="S180" s="17">
        <v>0</v>
      </c>
      <c r="T180" s="17">
        <v>0</v>
      </c>
      <c r="U180" s="17"/>
      <c r="V180" s="17"/>
      <c r="W180" s="17">
        <v>341259286250</v>
      </c>
      <c r="X180" s="17"/>
      <c r="Y180" t="s">
        <v>459</v>
      </c>
    </row>
    <row r="181" spans="1:25" x14ac:dyDescent="0.25">
      <c r="A181" t="s">
        <v>455</v>
      </c>
      <c r="B181" t="s">
        <v>461</v>
      </c>
      <c r="C181" t="str">
        <f>VLOOKUP(MasterTable[[#This Row],[Project Code and Name ]],PAProjects[LINKING_CODE],1,FALSE)</f>
        <v>1540 Development of Secondary Education Phase II</v>
      </c>
      <c r="D181" t="s">
        <v>961</v>
      </c>
      <c r="E181" t="str">
        <f>VLOOKUP(MasterTable[[#This Row],[Vote]],'MTEF 21-22'!A:B,2,FALSE)</f>
        <v>Ministry of Education and Sports</v>
      </c>
      <c r="F181" t="str">
        <f>CONCATENATE(MasterTable[[#This Row],[Vote]]," ",MasterTable[[#This Row],[Vote Name]])</f>
        <v>013 Ministry of Education and Sports</v>
      </c>
      <c r="G181" t="s">
        <v>19</v>
      </c>
      <c r="H181" s="16">
        <v>44203</v>
      </c>
      <c r="I181" s="16">
        <v>44742</v>
      </c>
      <c r="J181" t="s">
        <v>20</v>
      </c>
      <c r="K181" t="s">
        <v>36</v>
      </c>
      <c r="L181" s="17">
        <v>40314000000</v>
      </c>
      <c r="M181" s="17">
        <v>14870000000</v>
      </c>
      <c r="N181" s="17">
        <v>5200000000</v>
      </c>
      <c r="O181" s="17">
        <v>0</v>
      </c>
      <c r="P181" s="17">
        <v>14870000000</v>
      </c>
      <c r="Q181" s="17">
        <v>20070000000</v>
      </c>
      <c r="R181" s="17">
        <v>0</v>
      </c>
      <c r="S181" s="17">
        <v>0</v>
      </c>
      <c r="T181" s="17">
        <v>0</v>
      </c>
      <c r="U181" s="17">
        <v>0</v>
      </c>
      <c r="V181" s="17"/>
      <c r="W181" s="17">
        <v>75254000000</v>
      </c>
      <c r="X181" s="17"/>
      <c r="Y181" t="s">
        <v>462</v>
      </c>
    </row>
    <row r="182" spans="1:25" x14ac:dyDescent="0.25">
      <c r="A182" t="s">
        <v>455</v>
      </c>
      <c r="B182" t="s">
        <v>463</v>
      </c>
      <c r="C182" t="str">
        <f>VLOOKUP(MasterTable[[#This Row],[Project Code and Name ]],PAProjects[LINKING_CODE],1,FALSE)</f>
        <v xml:space="preserve">1339 Emergency Construction of Primary Schools Phase II  </v>
      </c>
      <c r="D182" t="s">
        <v>961</v>
      </c>
      <c r="E182" t="str">
        <f>VLOOKUP(MasterTable[[#This Row],[Vote]],'MTEF 21-22'!A:B,2,FALSE)</f>
        <v>Ministry of Education and Sports</v>
      </c>
      <c r="F182" t="str">
        <f>CONCATENATE(MasterTable[[#This Row],[Vote]]," ",MasterTable[[#This Row],[Vote Name]])</f>
        <v>013 Ministry of Education and Sports</v>
      </c>
      <c r="G182" t="s">
        <v>19</v>
      </c>
      <c r="H182" s="16">
        <v>43107</v>
      </c>
      <c r="I182" s="16">
        <v>44742</v>
      </c>
      <c r="J182" t="s">
        <v>20</v>
      </c>
      <c r="K182" t="s">
        <v>36</v>
      </c>
      <c r="L182" s="17">
        <v>40464000000</v>
      </c>
      <c r="M182" s="17">
        <v>10980000000</v>
      </c>
      <c r="N182" s="17">
        <v>2803278594</v>
      </c>
      <c r="O182" s="17">
        <v>0</v>
      </c>
      <c r="P182" s="17">
        <v>10980000000</v>
      </c>
      <c r="Q182" s="17">
        <v>13783278594</v>
      </c>
      <c r="R182" s="17">
        <v>0</v>
      </c>
      <c r="S182" s="17">
        <v>0</v>
      </c>
      <c r="T182" s="17">
        <v>0</v>
      </c>
      <c r="U182" s="17">
        <v>0</v>
      </c>
      <c r="V182" s="17"/>
      <c r="W182" s="17">
        <v>65227278594</v>
      </c>
      <c r="X182" s="17"/>
    </row>
    <row r="183" spans="1:25" x14ac:dyDescent="0.25">
      <c r="A183" t="s">
        <v>455</v>
      </c>
      <c r="B183" s="18" t="s">
        <v>464</v>
      </c>
      <c r="C183" t="e">
        <f>VLOOKUP(MasterTable[[#This Row],[Project Code and Name ]],PAProjects[LINKING_CODE],1,FALSE)</f>
        <v>#N/A</v>
      </c>
      <c r="D183" s="86" t="s">
        <v>961</v>
      </c>
      <c r="E183" t="str">
        <f>VLOOKUP(MasterTable[[#This Row],[Vote]],'MTEF 21-22'!A:B,2,FALSE)</f>
        <v>Ministry of Education and Sports</v>
      </c>
      <c r="F183" t="str">
        <f>CONCATENATE(MasterTable[[#This Row],[Vote]]," ",MasterTable[[#This Row],[Vote Name]])</f>
        <v>013 Ministry of Education and Sports</v>
      </c>
      <c r="G183" t="s">
        <v>19</v>
      </c>
      <c r="H183" s="16">
        <v>44203</v>
      </c>
      <c r="I183" s="16">
        <v>45838</v>
      </c>
      <c r="J183" t="s">
        <v>20</v>
      </c>
      <c r="K183" t="s">
        <v>21</v>
      </c>
      <c r="L183" s="17">
        <v>8340000000</v>
      </c>
      <c r="M183" s="17">
        <v>10430000000</v>
      </c>
      <c r="N183" s="17">
        <v>0</v>
      </c>
      <c r="O183" s="17">
        <v>0</v>
      </c>
      <c r="P183" s="17">
        <v>4050000000</v>
      </c>
      <c r="Q183" s="17">
        <v>4050000000</v>
      </c>
      <c r="R183" s="17">
        <v>4050000000</v>
      </c>
      <c r="S183" s="17">
        <v>4050000000</v>
      </c>
      <c r="T183" s="17">
        <v>4050000000</v>
      </c>
      <c r="U183" s="17"/>
      <c r="V183" s="17"/>
      <c r="W183" s="17">
        <v>34970000000</v>
      </c>
      <c r="X183" s="17"/>
    </row>
    <row r="184" spans="1:25" x14ac:dyDescent="0.25">
      <c r="A184" t="s">
        <v>455</v>
      </c>
      <c r="B184" s="18" t="s">
        <v>466</v>
      </c>
      <c r="C184" t="e">
        <f>VLOOKUP(MasterTable[[#This Row],[Project Code and Name ]],PAProjects[LINKING_CODE],1,FALSE)</f>
        <v>#N/A</v>
      </c>
      <c r="D184" s="86" t="s">
        <v>961</v>
      </c>
      <c r="E184" t="str">
        <f>VLOOKUP(MasterTable[[#This Row],[Vote]],'MTEF 21-22'!A:B,2,FALSE)</f>
        <v>Ministry of Education and Sports</v>
      </c>
      <c r="F184" t="str">
        <f>CONCATENATE(MasterTable[[#This Row],[Vote]]," ",MasterTable[[#This Row],[Vote Name]])</f>
        <v>013 Ministry of Education and Sports</v>
      </c>
      <c r="G184" t="s">
        <v>25</v>
      </c>
      <c r="H184" s="16">
        <v>43472</v>
      </c>
      <c r="I184" s="16">
        <v>45298</v>
      </c>
      <c r="J184" t="s">
        <v>20</v>
      </c>
      <c r="K184" t="s">
        <v>36</v>
      </c>
      <c r="L184" s="17">
        <v>23100000000</v>
      </c>
      <c r="M184" s="17">
        <v>38380000000</v>
      </c>
      <c r="N184" s="17"/>
      <c r="O184" s="17"/>
      <c r="P184" s="17">
        <v>7430000000</v>
      </c>
      <c r="Q184" s="17">
        <v>7430000000</v>
      </c>
      <c r="R184" s="17">
        <v>43520000000</v>
      </c>
      <c r="S184" s="17">
        <v>52430000000</v>
      </c>
      <c r="T184" s="17">
        <v>0</v>
      </c>
      <c r="U184" s="17"/>
      <c r="V184" s="17"/>
      <c r="W184" s="17">
        <v>164860000000</v>
      </c>
      <c r="X184" s="17"/>
    </row>
    <row r="185" spans="1:25" x14ac:dyDescent="0.25">
      <c r="A185" t="s">
        <v>455</v>
      </c>
      <c r="B185" s="18" t="s">
        <v>466</v>
      </c>
      <c r="C185" t="e">
        <f>VLOOKUP(MasterTable[[#This Row],[Project Code and Name ]],PAProjects[LINKING_CODE],1,FALSE)</f>
        <v>#N/A</v>
      </c>
      <c r="D185" s="86" t="s">
        <v>961</v>
      </c>
      <c r="E185" t="str">
        <f>VLOOKUP(MasterTable[[#This Row],[Vote]],'MTEF 21-22'!A:B,2,FALSE)</f>
        <v>Ministry of Education and Sports</v>
      </c>
      <c r="F185" t="str">
        <f>CONCATENATE(MasterTable[[#This Row],[Vote]]," ",MasterTable[[#This Row],[Vote Name]])</f>
        <v>013 Ministry of Education and Sports</v>
      </c>
      <c r="G185" t="s">
        <v>19</v>
      </c>
      <c r="H185" s="16">
        <v>43472</v>
      </c>
      <c r="I185" s="16">
        <v>45298</v>
      </c>
      <c r="J185" t="s">
        <v>20</v>
      </c>
      <c r="K185" t="s">
        <v>36</v>
      </c>
      <c r="L185" s="17">
        <v>60000000</v>
      </c>
      <c r="M185" s="17">
        <v>0</v>
      </c>
      <c r="N185" s="17"/>
      <c r="O185" s="17"/>
      <c r="P185" s="17">
        <v>2100000000</v>
      </c>
      <c r="Q185" s="17">
        <v>2100000000</v>
      </c>
      <c r="R185" s="17">
        <v>6500000000</v>
      </c>
      <c r="S185" s="17">
        <v>9120000000</v>
      </c>
      <c r="T185" s="17">
        <v>0</v>
      </c>
      <c r="U185" s="17">
        <v>0</v>
      </c>
      <c r="V185" s="17"/>
      <c r="W185" s="17">
        <v>17780000000</v>
      </c>
      <c r="X185" s="17"/>
    </row>
    <row r="186" spans="1:25" x14ac:dyDescent="0.25">
      <c r="A186" t="s">
        <v>455</v>
      </c>
      <c r="B186" t="s">
        <v>467</v>
      </c>
      <c r="C186" t="str">
        <f>VLOOKUP(MasterTable[[#This Row],[Project Code and Name ]],PAProjects[LINKING_CODE],1,FALSE)</f>
        <v>1432 OFID Funded Vocational Project Phase II</v>
      </c>
      <c r="D186" t="s">
        <v>961</v>
      </c>
      <c r="E186" t="str">
        <f>VLOOKUP(MasterTable[[#This Row],[Vote]],'MTEF 21-22'!A:B,2,FALSE)</f>
        <v>Ministry of Education and Sports</v>
      </c>
      <c r="F186" t="str">
        <f>CONCATENATE(MasterTable[[#This Row],[Vote]]," ",MasterTable[[#This Row],[Vote Name]])</f>
        <v>013 Ministry of Education and Sports</v>
      </c>
      <c r="G186" t="s">
        <v>25</v>
      </c>
      <c r="H186" s="16">
        <v>42742</v>
      </c>
      <c r="I186" s="16">
        <v>44742</v>
      </c>
      <c r="J186" t="s">
        <v>20</v>
      </c>
      <c r="K186" t="s">
        <v>36</v>
      </c>
      <c r="L186" s="17">
        <v>8610000000</v>
      </c>
      <c r="M186" s="17">
        <v>29240000000</v>
      </c>
      <c r="N186" s="17"/>
      <c r="O186" s="17"/>
      <c r="P186" s="17">
        <v>58060000000</v>
      </c>
      <c r="Q186" s="17">
        <v>58060000000</v>
      </c>
      <c r="R186" s="17">
        <v>0</v>
      </c>
      <c r="S186" s="17">
        <v>0</v>
      </c>
      <c r="T186" s="17">
        <v>0</v>
      </c>
      <c r="U186" s="17"/>
      <c r="V186" s="17"/>
      <c r="W186" s="17">
        <v>95910000000</v>
      </c>
      <c r="X186" s="17"/>
    </row>
    <row r="187" spans="1:25" x14ac:dyDescent="0.25">
      <c r="A187" t="s">
        <v>455</v>
      </c>
      <c r="B187" t="s">
        <v>467</v>
      </c>
      <c r="C187" t="str">
        <f>VLOOKUP(MasterTable[[#This Row],[Project Code and Name ]],PAProjects[LINKING_CODE],1,FALSE)</f>
        <v>1432 OFID Funded Vocational Project Phase II</v>
      </c>
      <c r="D187" t="s">
        <v>961</v>
      </c>
      <c r="E187" t="str">
        <f>VLOOKUP(MasterTable[[#This Row],[Vote]],'MTEF 21-22'!A:B,2,FALSE)</f>
        <v>Ministry of Education and Sports</v>
      </c>
      <c r="F187" t="str">
        <f>CONCATENATE(MasterTable[[#This Row],[Vote]]," ",MasterTable[[#This Row],[Vote Name]])</f>
        <v>013 Ministry of Education and Sports</v>
      </c>
      <c r="G187" t="s">
        <v>19</v>
      </c>
      <c r="H187" s="16">
        <v>42773</v>
      </c>
      <c r="I187" s="16">
        <v>44568</v>
      </c>
      <c r="J187" t="s">
        <v>20</v>
      </c>
      <c r="K187" t="s">
        <v>36</v>
      </c>
      <c r="L187" s="17">
        <v>15490000000</v>
      </c>
      <c r="M187" s="17">
        <v>0</v>
      </c>
      <c r="N187" s="17">
        <v>0</v>
      </c>
      <c r="O187" s="17">
        <v>0</v>
      </c>
      <c r="P187" s="17">
        <v>0</v>
      </c>
      <c r="Q187" s="17">
        <v>0</v>
      </c>
      <c r="R187" s="17">
        <v>0</v>
      </c>
      <c r="S187" s="17">
        <v>0</v>
      </c>
      <c r="T187" s="17">
        <v>0</v>
      </c>
      <c r="U187" s="17"/>
      <c r="V187" s="17"/>
      <c r="W187" s="17">
        <v>15490000000</v>
      </c>
      <c r="X187" s="17"/>
    </row>
    <row r="188" spans="1:25" x14ac:dyDescent="0.25">
      <c r="A188" t="s">
        <v>455</v>
      </c>
      <c r="B188" t="s">
        <v>468</v>
      </c>
      <c r="C188" t="str">
        <f>VLOOKUP(MasterTable[[#This Row],[Project Code and Name ]],PAProjects[LINKING_CODE],1,FALSE)</f>
        <v>1412 The Technical Vocational Education and Training (TVET-LEAD)</v>
      </c>
      <c r="D188" t="s">
        <v>961</v>
      </c>
      <c r="E188" t="str">
        <f>VLOOKUP(MasterTable[[#This Row],[Vote]],'MTEF 21-22'!A:B,2,FALSE)</f>
        <v>Ministry of Education and Sports</v>
      </c>
      <c r="F188" t="str">
        <f>CONCATENATE(MasterTable[[#This Row],[Vote]]," ",MasterTable[[#This Row],[Vote Name]])</f>
        <v>013 Ministry of Education and Sports</v>
      </c>
      <c r="G188" t="s">
        <v>25</v>
      </c>
      <c r="H188" s="16">
        <v>42376</v>
      </c>
      <c r="I188" s="16">
        <v>44834</v>
      </c>
      <c r="J188" t="s">
        <v>20</v>
      </c>
      <c r="K188" t="s">
        <v>36</v>
      </c>
      <c r="L188" s="17">
        <v>3790000000</v>
      </c>
      <c r="M188" s="17">
        <v>0</v>
      </c>
      <c r="N188" s="17"/>
      <c r="O188" s="17"/>
      <c r="P188" s="17"/>
      <c r="Q188" s="17">
        <v>0</v>
      </c>
      <c r="R188" s="17">
        <v>0</v>
      </c>
      <c r="S188" s="17">
        <v>0</v>
      </c>
      <c r="T188" s="17">
        <v>0</v>
      </c>
      <c r="U188" s="17"/>
      <c r="V188" s="17"/>
      <c r="W188" s="17">
        <v>3790000000</v>
      </c>
      <c r="X188" s="17"/>
    </row>
    <row r="189" spans="1:25" x14ac:dyDescent="0.25">
      <c r="A189" t="s">
        <v>455</v>
      </c>
      <c r="B189" t="s">
        <v>468</v>
      </c>
      <c r="C189" t="str">
        <f>VLOOKUP(MasterTable[[#This Row],[Project Code and Name ]],PAProjects[LINKING_CODE],1,FALSE)</f>
        <v>1412 The Technical Vocational Education and Training (TVET-LEAD)</v>
      </c>
      <c r="D189" t="s">
        <v>961</v>
      </c>
      <c r="E189" t="str">
        <f>VLOOKUP(MasterTable[[#This Row],[Vote]],'MTEF 21-22'!A:B,2,FALSE)</f>
        <v>Ministry of Education and Sports</v>
      </c>
      <c r="F189" t="str">
        <f>CONCATENATE(MasterTable[[#This Row],[Vote]]," ",MasterTable[[#This Row],[Vote Name]])</f>
        <v>013 Ministry of Education and Sports</v>
      </c>
      <c r="G189" t="s">
        <v>19</v>
      </c>
      <c r="H189" s="16">
        <v>42376</v>
      </c>
      <c r="I189" s="16">
        <v>44834</v>
      </c>
      <c r="J189" t="s">
        <v>20</v>
      </c>
      <c r="K189" t="s">
        <v>36</v>
      </c>
      <c r="L189" s="17">
        <v>1430000000</v>
      </c>
      <c r="M189" s="17">
        <v>16550000000</v>
      </c>
      <c r="N189" s="17"/>
      <c r="O189" s="17"/>
      <c r="P189" s="17"/>
      <c r="Q189" s="17">
        <v>0</v>
      </c>
      <c r="R189" s="17">
        <v>0</v>
      </c>
      <c r="S189" s="17">
        <v>0</v>
      </c>
      <c r="T189" s="17">
        <v>0</v>
      </c>
      <c r="U189" s="17"/>
      <c r="V189" s="17"/>
      <c r="W189" s="17">
        <v>17980000000</v>
      </c>
      <c r="X189" s="17"/>
      <c r="Y189" t="s">
        <v>469</v>
      </c>
    </row>
    <row r="190" spans="1:25" x14ac:dyDescent="0.25">
      <c r="A190" t="s">
        <v>455</v>
      </c>
      <c r="B190" t="s">
        <v>470</v>
      </c>
      <c r="C190" t="str">
        <f>VLOOKUP(MasterTable[[#This Row],[Project Code and Name ]],PAProjects[LINKING_CODE],1,FALSE)</f>
        <v>1491 African Centers of Excellence II</v>
      </c>
      <c r="D190" t="s">
        <v>961</v>
      </c>
      <c r="E190" t="str">
        <f>VLOOKUP(MasterTable[[#This Row],[Vote]],'MTEF 21-22'!A:B,2,FALSE)</f>
        <v>Ministry of Education and Sports</v>
      </c>
      <c r="F190" t="str">
        <f>CONCATENATE(MasterTable[[#This Row],[Vote]]," ",MasterTable[[#This Row],[Vote Name]])</f>
        <v>013 Ministry of Education and Sports</v>
      </c>
      <c r="G190" t="s">
        <v>25</v>
      </c>
      <c r="H190" s="16">
        <v>42379</v>
      </c>
      <c r="I190" s="16">
        <v>44571</v>
      </c>
      <c r="J190" t="s">
        <v>20</v>
      </c>
      <c r="K190" t="s">
        <v>36</v>
      </c>
      <c r="L190" s="17">
        <v>190000000</v>
      </c>
      <c r="M190" s="17">
        <v>12740000000</v>
      </c>
      <c r="N190" s="17"/>
      <c r="O190" s="17"/>
      <c r="P190" s="17">
        <v>17490000000</v>
      </c>
      <c r="Q190" s="17">
        <v>17490000000</v>
      </c>
      <c r="R190" s="17">
        <v>0</v>
      </c>
      <c r="S190" s="17">
        <v>0</v>
      </c>
      <c r="T190" s="17">
        <v>0</v>
      </c>
      <c r="U190" s="17"/>
      <c r="V190" s="17"/>
      <c r="W190" s="17">
        <v>30420000000</v>
      </c>
      <c r="X190" s="17"/>
    </row>
    <row r="191" spans="1:25" x14ac:dyDescent="0.25">
      <c r="A191" t="s">
        <v>455</v>
      </c>
      <c r="B191" t="s">
        <v>470</v>
      </c>
      <c r="C191" t="str">
        <f>VLOOKUP(MasterTable[[#This Row],[Project Code and Name ]],PAProjects[LINKING_CODE],1,FALSE)</f>
        <v>1491 African Centers of Excellence II</v>
      </c>
      <c r="D191" t="s">
        <v>961</v>
      </c>
      <c r="E191" t="str">
        <f>VLOOKUP(MasterTable[[#This Row],[Vote]],'MTEF 21-22'!A:B,2,FALSE)</f>
        <v>Ministry of Education and Sports</v>
      </c>
      <c r="F191" t="str">
        <f>CONCATENATE(MasterTable[[#This Row],[Vote]]," ",MasterTable[[#This Row],[Vote Name]])</f>
        <v>013 Ministry of Education and Sports</v>
      </c>
      <c r="G191" t="s">
        <v>19</v>
      </c>
      <c r="H191" s="16">
        <v>42410</v>
      </c>
      <c r="I191" s="16">
        <v>44602</v>
      </c>
      <c r="J191" t="s">
        <v>20</v>
      </c>
      <c r="K191" t="s">
        <v>36</v>
      </c>
      <c r="L191" s="17">
        <v>33340000000</v>
      </c>
      <c r="M191" s="17">
        <v>0</v>
      </c>
      <c r="N191" s="17"/>
      <c r="O191" s="17"/>
      <c r="P191" s="17"/>
      <c r="Q191" s="17">
        <v>0</v>
      </c>
      <c r="R191" s="17">
        <v>0</v>
      </c>
      <c r="S191" s="17">
        <v>0</v>
      </c>
      <c r="T191" s="17">
        <v>0</v>
      </c>
      <c r="U191" s="17"/>
      <c r="V191" s="17"/>
      <c r="W191" s="17">
        <v>33340000000</v>
      </c>
      <c r="X191" s="17"/>
    </row>
    <row r="192" spans="1:25" x14ac:dyDescent="0.25">
      <c r="A192" t="s">
        <v>455</v>
      </c>
      <c r="B192" t="s">
        <v>471</v>
      </c>
      <c r="C192" t="str">
        <f>VLOOKUP(MasterTable[[#This Row],[Project Code and Name ]],PAProjects[LINKING_CODE],1,FALSE)</f>
        <v>1665 Uganda Secondary Education Expansion Project</v>
      </c>
      <c r="D192" t="s">
        <v>961</v>
      </c>
      <c r="E192" t="str">
        <f>VLOOKUP(MasterTable[[#This Row],[Vote]],'MTEF 21-22'!A:B,2,FALSE)</f>
        <v>Ministry of Education and Sports</v>
      </c>
      <c r="F192" t="str">
        <f>CONCATENATE(MasterTable[[#This Row],[Vote]]," ",MasterTable[[#This Row],[Vote Name]])</f>
        <v>013 Ministry of Education and Sports</v>
      </c>
      <c r="G192" t="s">
        <v>25</v>
      </c>
      <c r="H192" s="16">
        <v>43775</v>
      </c>
      <c r="I192" s="16">
        <v>45700</v>
      </c>
      <c r="J192" t="s">
        <v>40</v>
      </c>
      <c r="K192" t="s">
        <v>36</v>
      </c>
      <c r="L192" s="17">
        <v>0</v>
      </c>
      <c r="M192" s="17">
        <v>38800000000</v>
      </c>
      <c r="N192" s="17">
        <v>0</v>
      </c>
      <c r="O192" s="17">
        <v>0</v>
      </c>
      <c r="P192" s="17"/>
      <c r="Q192" s="17">
        <v>0</v>
      </c>
      <c r="R192" s="17">
        <v>81880000000</v>
      </c>
      <c r="S192" s="17">
        <v>167360000000</v>
      </c>
      <c r="T192" s="17">
        <v>185700000000</v>
      </c>
      <c r="U192" s="17"/>
      <c r="V192" s="17"/>
      <c r="W192" s="17">
        <v>473740000000</v>
      </c>
      <c r="X192" s="17"/>
    </row>
    <row r="193" spans="1:27" x14ac:dyDescent="0.25">
      <c r="A193" t="s">
        <v>455</v>
      </c>
      <c r="B193" t="s">
        <v>471</v>
      </c>
      <c r="C193" t="str">
        <f>VLOOKUP(MasterTable[[#This Row],[Project Code and Name ]],PAProjects[LINKING_CODE],1,FALSE)</f>
        <v>1665 Uganda Secondary Education Expansion Project</v>
      </c>
      <c r="D193" t="s">
        <v>961</v>
      </c>
      <c r="E193" t="str">
        <f>VLOOKUP(MasterTable[[#This Row],[Vote]],'MTEF 21-22'!A:B,2,FALSE)</f>
        <v>Ministry of Education and Sports</v>
      </c>
      <c r="F193" t="str">
        <f>CONCATENATE(MasterTable[[#This Row],[Vote]]," ",MasterTable[[#This Row],[Vote Name]])</f>
        <v>013 Ministry of Education and Sports</v>
      </c>
      <c r="G193" t="s">
        <v>19</v>
      </c>
      <c r="H193" s="16">
        <v>43775</v>
      </c>
      <c r="I193" s="16">
        <v>45700</v>
      </c>
      <c r="J193" t="s">
        <v>40</v>
      </c>
      <c r="K193" t="s">
        <v>36</v>
      </c>
      <c r="L193" s="17">
        <v>0</v>
      </c>
      <c r="M193" s="17">
        <v>1000000000</v>
      </c>
      <c r="N193" s="17">
        <v>0</v>
      </c>
      <c r="O193" s="17">
        <v>1500000000</v>
      </c>
      <c r="P193" s="17">
        <v>0</v>
      </c>
      <c r="Q193" s="17">
        <v>1500000000</v>
      </c>
      <c r="R193" s="17">
        <v>1500000000</v>
      </c>
      <c r="S193" s="17">
        <v>33800000000</v>
      </c>
      <c r="T193" s="17">
        <v>33800000000</v>
      </c>
      <c r="U193" s="17">
        <v>0</v>
      </c>
      <c r="V193" s="17"/>
      <c r="W193" s="17">
        <v>71600000000</v>
      </c>
      <c r="X193" s="17"/>
    </row>
    <row r="194" spans="1:27" x14ac:dyDescent="0.25">
      <c r="A194" t="s">
        <v>472</v>
      </c>
      <c r="B194" t="s">
        <v>18</v>
      </c>
      <c r="C194" t="str">
        <f>VLOOKUP(MasterTable[[#This Row],[Project Code and Name ]],PAProjects[LINKING_CODE],1,FALSE)</f>
        <v xml:space="preserve">1673 Retooling of Office of the Prime Minister </v>
      </c>
      <c r="D194" t="s">
        <v>0</v>
      </c>
      <c r="E194" t="str">
        <f>VLOOKUP(MasterTable[[#This Row],[Vote]],'MTEF 21-22'!A:B,2,FALSE)</f>
        <v>Office of the Prime Minister</v>
      </c>
      <c r="F194" t="str">
        <f>CONCATENATE(MasterTable[[#This Row],[Vote]]," ",MasterTable[[#This Row],[Vote Name]])</f>
        <v>003 Office of the Prime Minister</v>
      </c>
      <c r="G194" t="s">
        <v>19</v>
      </c>
      <c r="H194" s="16">
        <v>44013</v>
      </c>
      <c r="I194" s="16">
        <v>45838</v>
      </c>
      <c r="J194" t="s">
        <v>20</v>
      </c>
      <c r="K194" t="s">
        <v>21</v>
      </c>
      <c r="L194" s="17">
        <v>0</v>
      </c>
      <c r="M194" s="17">
        <v>2056000000</v>
      </c>
      <c r="N194" s="17">
        <v>0</v>
      </c>
      <c r="O194" s="17"/>
      <c r="P194" s="17"/>
      <c r="Q194" s="17">
        <v>2060000000</v>
      </c>
      <c r="R194" s="17">
        <v>5291300000</v>
      </c>
      <c r="S194" s="17">
        <v>2905800000</v>
      </c>
      <c r="T194" s="17">
        <v>1788400000</v>
      </c>
      <c r="U194" s="17"/>
      <c r="V194" s="17"/>
      <c r="W194" s="17">
        <v>14101500000</v>
      </c>
      <c r="X194" s="17">
        <v>14101500000</v>
      </c>
      <c r="Y194" t="s">
        <v>22</v>
      </c>
      <c r="AA194" t="s">
        <v>23</v>
      </c>
    </row>
    <row r="195" spans="1:27" x14ac:dyDescent="0.25">
      <c r="A195" t="s">
        <v>472</v>
      </c>
      <c r="B195" t="s">
        <v>24</v>
      </c>
      <c r="C195" t="str">
        <f>VLOOKUP(MasterTable[[#This Row],[Project Code and Name ]],PAProjects[LINKING_CODE],1,FALSE)</f>
        <v>1486 Development Innitiative for Northern Uganda</v>
      </c>
      <c r="D195" t="s">
        <v>0</v>
      </c>
      <c r="E195" t="str">
        <f>VLOOKUP(MasterTable[[#This Row],[Vote]],'MTEF 21-22'!A:B,2,FALSE)</f>
        <v>Office of the Prime Minister</v>
      </c>
      <c r="F195" t="str">
        <f>CONCATENATE(MasterTable[[#This Row],[Vote]]," ",MasterTable[[#This Row],[Vote Name]])</f>
        <v>003 Office of the Prime Minister</v>
      </c>
      <c r="G195" t="s">
        <v>25</v>
      </c>
      <c r="H195" s="16">
        <v>42917</v>
      </c>
      <c r="I195" s="16">
        <v>44742</v>
      </c>
      <c r="J195" t="s">
        <v>20</v>
      </c>
      <c r="K195" t="s">
        <v>26</v>
      </c>
      <c r="L195" s="17">
        <v>8820000000</v>
      </c>
      <c r="M195" s="17">
        <v>38381000000</v>
      </c>
      <c r="N195" s="17">
        <v>0</v>
      </c>
      <c r="O195" s="17"/>
      <c r="P195" s="17"/>
      <c r="Q195" s="17">
        <v>389818000000</v>
      </c>
      <c r="R195" s="17"/>
      <c r="S195" s="17"/>
      <c r="T195" s="17"/>
      <c r="U195" s="17"/>
      <c r="V195" s="17"/>
      <c r="W195" s="17">
        <v>437019000000</v>
      </c>
      <c r="X195" s="17">
        <v>470400000000</v>
      </c>
      <c r="Y195" t="s">
        <v>27</v>
      </c>
      <c r="AA195" t="s">
        <v>28</v>
      </c>
    </row>
    <row r="196" spans="1:27" x14ac:dyDescent="0.25">
      <c r="A196" t="s">
        <v>472</v>
      </c>
      <c r="B196" t="s">
        <v>29</v>
      </c>
      <c r="C196" t="str">
        <f>VLOOKUP(MasterTable[[#This Row],[Project Code and Name ]],PAProjects[LINKING_CODE],1,FALSE)</f>
        <v>1499 Development Response for Displacement IMPACTS Project (DRDIP)</v>
      </c>
      <c r="D196" t="s">
        <v>0</v>
      </c>
      <c r="E196" t="str">
        <f>VLOOKUP(MasterTable[[#This Row],[Vote]],'MTEF 21-22'!A:B,2,FALSE)</f>
        <v>Office of the Prime Minister</v>
      </c>
      <c r="F196" t="str">
        <f>CONCATENATE(MasterTable[[#This Row],[Vote]]," ",MasterTable[[#This Row],[Vote Name]])</f>
        <v>003 Office of the Prime Minister</v>
      </c>
      <c r="G196" t="s">
        <v>25</v>
      </c>
      <c r="H196" s="16">
        <v>42917</v>
      </c>
      <c r="I196" s="16">
        <v>44742</v>
      </c>
      <c r="J196" t="s">
        <v>20</v>
      </c>
      <c r="K196" t="s">
        <v>26</v>
      </c>
      <c r="L196" s="17">
        <v>171540000000</v>
      </c>
      <c r="M196" s="17">
        <v>233183000000</v>
      </c>
      <c r="N196" s="17">
        <v>0</v>
      </c>
      <c r="O196" s="17"/>
      <c r="P196" s="17"/>
      <c r="Q196" s="17">
        <v>176910000000</v>
      </c>
      <c r="R196" s="17"/>
      <c r="S196" s="17"/>
      <c r="T196" s="17"/>
      <c r="U196" s="17"/>
      <c r="V196" s="17"/>
      <c r="W196" s="17">
        <v>581633000000</v>
      </c>
      <c r="X196" s="17">
        <v>740000000000</v>
      </c>
      <c r="Y196" t="s">
        <v>30</v>
      </c>
    </row>
    <row r="197" spans="1:27" x14ac:dyDescent="0.25">
      <c r="A197" t="s">
        <v>473</v>
      </c>
      <c r="B197" t="s">
        <v>474</v>
      </c>
      <c r="C197" t="str">
        <f>VLOOKUP(MasterTable[[#This Row],[Project Code and Name ]],PAProjects[LINKING_CODE],1,FALSE)</f>
        <v>1262 Rural Electrification Project</v>
      </c>
      <c r="D197" t="s">
        <v>123</v>
      </c>
      <c r="E197" t="str">
        <f>VLOOKUP(MasterTable[[#This Row],[Vote]],'MTEF 21-22'!A:B,2,FALSE)</f>
        <v>Rural Electrification Agency (REA)</v>
      </c>
      <c r="F197" t="str">
        <f>CONCATENATE(MasterTable[[#This Row],[Vote]]," ",MasterTable[[#This Row],[Vote Name]])</f>
        <v>123 Rural Electrification Agency (REA)</v>
      </c>
      <c r="G197" t="s">
        <v>25</v>
      </c>
      <c r="H197" s="16">
        <v>41455</v>
      </c>
      <c r="I197" s="16">
        <v>45107</v>
      </c>
      <c r="J197" t="s">
        <v>20</v>
      </c>
      <c r="K197" t="s">
        <v>36</v>
      </c>
      <c r="L197" s="17">
        <v>338651000000</v>
      </c>
      <c r="M197" s="17">
        <v>56094416000</v>
      </c>
      <c r="N197" s="17">
        <v>0</v>
      </c>
      <c r="O197" s="17"/>
      <c r="P197" s="17">
        <v>18500000000</v>
      </c>
      <c r="Q197" s="17">
        <v>18500000000</v>
      </c>
      <c r="R197" s="17">
        <v>3700000000</v>
      </c>
      <c r="S197" s="17"/>
      <c r="T197" s="17"/>
      <c r="U197" s="17"/>
      <c r="V197" s="17"/>
      <c r="W197" s="17">
        <v>416945416000</v>
      </c>
      <c r="X197" s="17">
        <v>652258662303</v>
      </c>
      <c r="Y197" t="s">
        <v>475</v>
      </c>
      <c r="AA197" t="s">
        <v>23</v>
      </c>
    </row>
    <row r="198" spans="1:27" x14ac:dyDescent="0.25">
      <c r="A198" t="s">
        <v>473</v>
      </c>
      <c r="B198" t="s">
        <v>474</v>
      </c>
      <c r="C198" t="str">
        <f>VLOOKUP(MasterTable[[#This Row],[Project Code and Name ]],PAProjects[LINKING_CODE],1,FALSE)</f>
        <v>1262 Rural Electrification Project</v>
      </c>
      <c r="D198" t="s">
        <v>123</v>
      </c>
      <c r="E198" t="str">
        <f>VLOOKUP(MasterTable[[#This Row],[Vote]],'MTEF 21-22'!A:B,2,FALSE)</f>
        <v>Rural Electrification Agency (REA)</v>
      </c>
      <c r="F198" t="str">
        <f>CONCATENATE(MasterTable[[#This Row],[Vote]]," ",MasterTable[[#This Row],[Vote Name]])</f>
        <v>123 Rural Electrification Agency (REA)</v>
      </c>
      <c r="G198" t="s">
        <v>19</v>
      </c>
      <c r="H198" s="16">
        <v>41455</v>
      </c>
      <c r="I198" s="16">
        <v>45107</v>
      </c>
      <c r="J198" t="s">
        <v>20</v>
      </c>
      <c r="K198" t="s">
        <v>36</v>
      </c>
      <c r="L198" s="17">
        <v>608631000000</v>
      </c>
      <c r="M198" s="17">
        <v>118139341000</v>
      </c>
      <c r="N198" s="17">
        <v>0</v>
      </c>
      <c r="O198" s="17"/>
      <c r="P198" s="17">
        <v>221140000000</v>
      </c>
      <c r="Q198" s="17">
        <v>221140000000</v>
      </c>
      <c r="R198" s="17">
        <v>128140000000</v>
      </c>
      <c r="S198" s="17"/>
      <c r="T198" s="17"/>
      <c r="U198" s="17"/>
      <c r="V198" s="17"/>
      <c r="W198" s="17">
        <v>1076050341000</v>
      </c>
      <c r="X198" s="17"/>
      <c r="AA198" t="s">
        <v>28</v>
      </c>
    </row>
    <row r="199" spans="1:27" x14ac:dyDescent="0.25">
      <c r="A199" t="s">
        <v>473</v>
      </c>
      <c r="B199" s="18" t="s">
        <v>1294</v>
      </c>
      <c r="C199" s="18" t="str">
        <f>VLOOKUP(MasterTable[[#This Row],[Project Code and Name ]],PAProjects[LINKING_CODE],1,FALSE)</f>
        <v>1428 Energy for Rural Transformation (ERT) Phase III -REA</v>
      </c>
      <c r="D199" s="18" t="s">
        <v>123</v>
      </c>
      <c r="E199" s="18" t="str">
        <f>VLOOKUP(MasterTable[[#This Row],[Vote]],'MTEF 21-22'!A:B,2,FALSE)</f>
        <v>Rural Electrification Agency (REA)</v>
      </c>
      <c r="F199" s="18" t="str">
        <f>CONCATENATE(MasterTable[[#This Row],[Vote]]," ",MasterTable[[#This Row],[Vote Name]])</f>
        <v>123 Rural Electrification Agency (REA)</v>
      </c>
      <c r="G199" t="s">
        <v>25</v>
      </c>
      <c r="H199" s="16">
        <v>42551</v>
      </c>
      <c r="I199" s="16">
        <v>44926</v>
      </c>
      <c r="J199" t="s">
        <v>20</v>
      </c>
      <c r="K199" t="s">
        <v>36</v>
      </c>
      <c r="L199" s="17">
        <v>80970000000</v>
      </c>
      <c r="M199" s="17">
        <v>173142900000</v>
      </c>
      <c r="N199" s="17">
        <v>0</v>
      </c>
      <c r="O199" s="17"/>
      <c r="P199" s="17">
        <v>55763000000</v>
      </c>
      <c r="Q199" s="17">
        <v>55763000000</v>
      </c>
      <c r="R199" s="17">
        <v>0</v>
      </c>
      <c r="S199" s="17"/>
      <c r="T199" s="17"/>
      <c r="U199" s="17"/>
      <c r="V199" s="17"/>
      <c r="W199" s="17">
        <v>309875900000</v>
      </c>
      <c r="X199" s="17">
        <v>452400000000</v>
      </c>
      <c r="Y199" t="s">
        <v>475</v>
      </c>
    </row>
    <row r="200" spans="1:27" x14ac:dyDescent="0.25">
      <c r="A200" t="s">
        <v>473</v>
      </c>
      <c r="B200" s="18" t="s">
        <v>1294</v>
      </c>
      <c r="C200" s="18" t="str">
        <f>VLOOKUP(MasterTable[[#This Row],[Project Code and Name ]],PAProjects[LINKING_CODE],1,FALSE)</f>
        <v>1428 Energy for Rural Transformation (ERT) Phase III -REA</v>
      </c>
      <c r="D200" s="18" t="s">
        <v>123</v>
      </c>
      <c r="E200" s="18" t="str">
        <f>VLOOKUP(MasterTable[[#This Row],[Vote]],'MTEF 21-22'!A:B,2,FALSE)</f>
        <v>Rural Electrification Agency (REA)</v>
      </c>
      <c r="F200" s="18" t="str">
        <f>CONCATENATE(MasterTable[[#This Row],[Vote]]," ",MasterTable[[#This Row],[Vote Name]])</f>
        <v>123 Rural Electrification Agency (REA)</v>
      </c>
      <c r="G200" t="s">
        <v>19</v>
      </c>
      <c r="H200" s="16">
        <v>44377</v>
      </c>
      <c r="I200" s="16">
        <v>44926</v>
      </c>
      <c r="J200" t="s">
        <v>20</v>
      </c>
      <c r="K200" t="s">
        <v>36</v>
      </c>
      <c r="L200" s="17">
        <v>950000000</v>
      </c>
      <c r="M200" s="17">
        <v>0</v>
      </c>
      <c r="N200" s="17">
        <v>0</v>
      </c>
      <c r="O200" s="17"/>
      <c r="P200" s="17">
        <v>0</v>
      </c>
      <c r="Q200" s="17">
        <v>0</v>
      </c>
      <c r="R200" s="17">
        <v>0</v>
      </c>
      <c r="S200" s="17">
        <v>0</v>
      </c>
      <c r="T200" s="17">
        <v>0</v>
      </c>
      <c r="U200" s="17"/>
      <c r="V200" s="17"/>
      <c r="W200" s="17">
        <v>950000000</v>
      </c>
      <c r="X200" s="17"/>
    </row>
    <row r="201" spans="1:27" x14ac:dyDescent="0.25">
      <c r="A201" t="s">
        <v>473</v>
      </c>
      <c r="B201" t="s">
        <v>476</v>
      </c>
      <c r="C201" t="str">
        <f>VLOOKUP(MasterTable[[#This Row],[Project Code and Name ]],PAProjects[LINKING_CODE],1,FALSE)</f>
        <v>1517 Bridging the demand gap through the accelerated rural electrification Programme (TBEA)</v>
      </c>
      <c r="D201" t="s">
        <v>123</v>
      </c>
      <c r="E201" t="str">
        <f>VLOOKUP(MasterTable[[#This Row],[Vote]],'MTEF 21-22'!A:B,2,FALSE)</f>
        <v>Rural Electrification Agency (REA)</v>
      </c>
      <c r="F201" t="str">
        <f>CONCATENATE(MasterTable[[#This Row],[Vote]]," ",MasterTable[[#This Row],[Vote Name]])</f>
        <v>123 Rural Electrification Agency (REA)</v>
      </c>
      <c r="G201" t="s">
        <v>25</v>
      </c>
      <c r="H201" s="16">
        <v>43282</v>
      </c>
      <c r="I201" s="16">
        <v>44742</v>
      </c>
      <c r="J201" t="s">
        <v>20</v>
      </c>
      <c r="K201" t="s">
        <v>36</v>
      </c>
      <c r="L201" s="17">
        <v>93570000000</v>
      </c>
      <c r="M201" s="17">
        <v>112092972000</v>
      </c>
      <c r="N201" s="17">
        <v>0</v>
      </c>
      <c r="O201" s="17"/>
      <c r="P201" s="17">
        <v>245786000000</v>
      </c>
      <c r="Q201" s="17">
        <v>245786000000</v>
      </c>
      <c r="R201" s="17">
        <v>0</v>
      </c>
      <c r="S201" s="17">
        <v>0</v>
      </c>
      <c r="T201" s="17">
        <v>0</v>
      </c>
      <c r="U201" s="17"/>
      <c r="V201" s="17"/>
      <c r="W201" s="17">
        <v>366038972000</v>
      </c>
      <c r="X201" s="17">
        <v>829413000000</v>
      </c>
      <c r="Y201" t="s">
        <v>475</v>
      </c>
    </row>
    <row r="202" spans="1:27" x14ac:dyDescent="0.25">
      <c r="A202" t="s">
        <v>473</v>
      </c>
      <c r="B202" t="s">
        <v>476</v>
      </c>
      <c r="C202" t="str">
        <f>VLOOKUP(MasterTable[[#This Row],[Project Code and Name ]],PAProjects[LINKING_CODE],1,FALSE)</f>
        <v>1517 Bridging the demand gap through the accelerated rural electrification Programme (TBEA)</v>
      </c>
      <c r="D202" t="s">
        <v>123</v>
      </c>
      <c r="E202" t="str">
        <f>VLOOKUP(MasterTable[[#This Row],[Vote]],'MTEF 21-22'!A:B,2,FALSE)</f>
        <v>Rural Electrification Agency (REA)</v>
      </c>
      <c r="F202" t="str">
        <f>CONCATENATE(MasterTable[[#This Row],[Vote]]," ",MasterTable[[#This Row],[Vote Name]])</f>
        <v>123 Rural Electrification Agency (REA)</v>
      </c>
      <c r="G202" t="s">
        <v>19</v>
      </c>
      <c r="H202" s="16">
        <v>43282</v>
      </c>
      <c r="I202" s="16">
        <v>44742</v>
      </c>
      <c r="J202" t="s">
        <v>20</v>
      </c>
      <c r="K202" t="s">
        <v>36</v>
      </c>
      <c r="L202" s="17">
        <v>8160000000</v>
      </c>
      <c r="M202" s="17">
        <v>10000000000</v>
      </c>
      <c r="N202" s="17">
        <v>0</v>
      </c>
      <c r="O202" s="17"/>
      <c r="P202" s="17">
        <v>10000000000</v>
      </c>
      <c r="Q202" s="17">
        <v>10000000000</v>
      </c>
      <c r="R202" s="17">
        <v>0</v>
      </c>
      <c r="S202" s="17">
        <v>0</v>
      </c>
      <c r="T202" s="17">
        <v>0</v>
      </c>
      <c r="U202" s="17"/>
      <c r="V202" s="17"/>
      <c r="W202" s="17">
        <v>28160000000</v>
      </c>
      <c r="X202" s="17"/>
    </row>
    <row r="203" spans="1:27" x14ac:dyDescent="0.25">
      <c r="A203" t="s">
        <v>473</v>
      </c>
      <c r="B203" t="s">
        <v>477</v>
      </c>
      <c r="C203" t="str">
        <f>VLOOKUP(MasterTable[[#This Row],[Project Code and Name ]],PAProjects[LINKING_CODE],1,FALSE)</f>
        <v>1518 Uganda Rural Electrification Access Project (UREAP)</v>
      </c>
      <c r="D203" t="s">
        <v>123</v>
      </c>
      <c r="E203" t="str">
        <f>VLOOKUP(MasterTable[[#This Row],[Vote]],'MTEF 21-22'!A:B,2,FALSE)</f>
        <v>Rural Electrification Agency (REA)</v>
      </c>
      <c r="F203" t="str">
        <f>CONCATENATE(MasterTable[[#This Row],[Vote]]," ",MasterTable[[#This Row],[Vote Name]])</f>
        <v>123 Rural Electrification Agency (REA)</v>
      </c>
      <c r="G203" t="s">
        <v>25</v>
      </c>
      <c r="H203" s="16">
        <v>43282</v>
      </c>
      <c r="I203" s="16">
        <v>44742</v>
      </c>
      <c r="J203" t="s">
        <v>20</v>
      </c>
      <c r="K203" t="s">
        <v>36</v>
      </c>
      <c r="L203" s="17">
        <v>68610000000</v>
      </c>
      <c r="M203" s="17">
        <v>157410000000</v>
      </c>
      <c r="N203" s="17">
        <v>0</v>
      </c>
      <c r="O203" s="17"/>
      <c r="P203" s="17">
        <v>144581000000</v>
      </c>
      <c r="Q203" s="17">
        <v>144581000000</v>
      </c>
      <c r="R203" s="17">
        <v>0</v>
      </c>
      <c r="S203" s="17">
        <v>0</v>
      </c>
      <c r="T203" s="17">
        <v>0</v>
      </c>
      <c r="U203" s="17"/>
      <c r="V203" s="17"/>
      <c r="W203" s="17">
        <v>370601000000</v>
      </c>
      <c r="X203" s="17">
        <v>390000000000</v>
      </c>
      <c r="Y203" t="s">
        <v>475</v>
      </c>
    </row>
    <row r="204" spans="1:27" x14ac:dyDescent="0.25">
      <c r="A204" t="s">
        <v>473</v>
      </c>
      <c r="B204" t="s">
        <v>477</v>
      </c>
      <c r="C204" t="str">
        <f>VLOOKUP(MasterTable[[#This Row],[Project Code and Name ]],PAProjects[LINKING_CODE],1,FALSE)</f>
        <v>1518 Uganda Rural Electrification Access Project (UREAP)</v>
      </c>
      <c r="D204" t="s">
        <v>123</v>
      </c>
      <c r="E204" t="str">
        <f>VLOOKUP(MasterTable[[#This Row],[Vote]],'MTEF 21-22'!A:B,2,FALSE)</f>
        <v>Rural Electrification Agency (REA)</v>
      </c>
      <c r="F204" t="str">
        <f>CONCATENATE(MasterTable[[#This Row],[Vote]]," ",MasterTable[[#This Row],[Vote Name]])</f>
        <v>123 Rural Electrification Agency (REA)</v>
      </c>
      <c r="G204" t="s">
        <v>19</v>
      </c>
      <c r="H204" s="16">
        <v>43282</v>
      </c>
      <c r="I204" s="16">
        <v>44742</v>
      </c>
      <c r="J204" t="s">
        <v>20</v>
      </c>
      <c r="K204" t="s">
        <v>36</v>
      </c>
      <c r="L204" s="17">
        <v>0</v>
      </c>
      <c r="M204" s="17">
        <v>0</v>
      </c>
      <c r="N204" s="17">
        <v>0</v>
      </c>
      <c r="O204" s="17"/>
      <c r="P204" s="17">
        <v>0</v>
      </c>
      <c r="Q204" s="17">
        <v>0</v>
      </c>
      <c r="R204" s="17">
        <v>0</v>
      </c>
      <c r="S204" s="17">
        <v>0</v>
      </c>
      <c r="T204" s="17">
        <v>0</v>
      </c>
      <c r="U204" s="17"/>
      <c r="V204" s="17"/>
      <c r="W204" s="17">
        <v>0</v>
      </c>
      <c r="X204" s="17"/>
    </row>
    <row r="205" spans="1:27" x14ac:dyDescent="0.25">
      <c r="A205" t="s">
        <v>478</v>
      </c>
      <c r="B205" t="s">
        <v>479</v>
      </c>
      <c r="C205" t="str">
        <f>VLOOKUP(MasterTable[[#This Row],[Project Code and Name ]],PAProjects[LINKING_CODE],1,FALSE)</f>
        <v>1680 Retooling of Soroti University</v>
      </c>
      <c r="D205" t="s">
        <v>308</v>
      </c>
      <c r="E205" t="str">
        <f>VLOOKUP(MasterTable[[#This Row],[Vote]],'MTEF 21-22'!A:B,2,FALSE)</f>
        <v>Soroti University</v>
      </c>
      <c r="F205" t="str">
        <f>CONCATENATE(MasterTable[[#This Row],[Vote]]," ",MasterTable[[#This Row],[Vote Name]])</f>
        <v>308 Soroti University</v>
      </c>
      <c r="G205" t="s">
        <v>19</v>
      </c>
      <c r="H205" s="16">
        <v>44013</v>
      </c>
      <c r="I205" s="16">
        <v>45839</v>
      </c>
      <c r="J205" t="s">
        <v>40</v>
      </c>
      <c r="K205" t="s">
        <v>21</v>
      </c>
      <c r="L205" s="17">
        <v>0</v>
      </c>
      <c r="M205" s="17">
        <v>1900000000</v>
      </c>
      <c r="N205" s="17">
        <v>0</v>
      </c>
      <c r="O205" s="17">
        <v>0</v>
      </c>
      <c r="P205" s="17">
        <v>3850000000</v>
      </c>
      <c r="Q205" s="17">
        <v>3850000000</v>
      </c>
      <c r="R205" s="17">
        <v>1650000000</v>
      </c>
      <c r="S205" s="17">
        <v>1550000000</v>
      </c>
      <c r="T205" s="17">
        <v>1150000000</v>
      </c>
      <c r="U205" s="17"/>
      <c r="V205" s="17"/>
      <c r="W205" s="17">
        <v>10100000000</v>
      </c>
      <c r="X205" s="17">
        <v>10100000000</v>
      </c>
      <c r="Y205" t="s">
        <v>480</v>
      </c>
    </row>
    <row r="206" spans="1:27" x14ac:dyDescent="0.25">
      <c r="A206" t="s">
        <v>478</v>
      </c>
      <c r="B206" t="s">
        <v>481</v>
      </c>
      <c r="C206" t="str">
        <f>VLOOKUP(MasterTable[[#This Row],[Project Code and Name ]],PAProjects[LINKING_CODE],1,FALSE)</f>
        <v>1419 Support to Soroti University Infrastructure Development</v>
      </c>
      <c r="D206" t="s">
        <v>308</v>
      </c>
      <c r="E206" t="str">
        <f>VLOOKUP(MasterTable[[#This Row],[Vote]],'MTEF 21-22'!A:B,2,FALSE)</f>
        <v>Soroti University</v>
      </c>
      <c r="F206" t="str">
        <f>CONCATENATE(MasterTable[[#This Row],[Vote]]," ",MasterTable[[#This Row],[Vote Name]])</f>
        <v>308 Soroti University</v>
      </c>
      <c r="G206" t="s">
        <v>19</v>
      </c>
      <c r="H206" s="16">
        <v>44013</v>
      </c>
      <c r="I206" s="16">
        <v>45839</v>
      </c>
      <c r="J206" t="s">
        <v>20</v>
      </c>
      <c r="K206" t="s">
        <v>36</v>
      </c>
      <c r="L206" s="17">
        <v>0</v>
      </c>
      <c r="M206" s="17">
        <v>4100000000</v>
      </c>
      <c r="N206" s="17">
        <v>0</v>
      </c>
      <c r="O206" s="17">
        <v>0</v>
      </c>
      <c r="P206" s="17">
        <v>15000000000</v>
      </c>
      <c r="Q206" s="17">
        <v>15000000000</v>
      </c>
      <c r="R206" s="17">
        <v>13335000000</v>
      </c>
      <c r="S206" s="17">
        <v>9000000000</v>
      </c>
      <c r="T206" s="17">
        <v>915000000</v>
      </c>
      <c r="U206" s="17"/>
      <c r="V206" s="17"/>
      <c r="W206" s="17">
        <v>42350000000</v>
      </c>
      <c r="X206" s="17">
        <v>42350000000</v>
      </c>
      <c r="Y206" t="s">
        <v>482</v>
      </c>
    </row>
    <row r="207" spans="1:27" x14ac:dyDescent="0.25">
      <c r="A207" t="s">
        <v>483</v>
      </c>
      <c r="B207" t="s">
        <v>484</v>
      </c>
      <c r="C207" t="str">
        <f>VLOOKUP(MasterTable[[#This Row],[Project Code and Name ]],PAProjects[LINKING_CODE],1,FALSE)</f>
        <v>1360 Markets and Agricultural Trade Improvements Programme (MATIP 2)</v>
      </c>
      <c r="D207" t="s">
        <v>932</v>
      </c>
      <c r="E207" t="str">
        <f>VLOOKUP(MasterTable[[#This Row],[Vote]],'MTEF 21-22'!A:B,2,FALSE)</f>
        <v>Ministry of Local Government</v>
      </c>
      <c r="F207" t="str">
        <f>CONCATENATE(MasterTable[[#This Row],[Vote]]," ",MasterTable[[#This Row],[Vote Name]])</f>
        <v>011 Ministry of Local Government</v>
      </c>
      <c r="G207" t="s">
        <v>19</v>
      </c>
      <c r="H207" s="16">
        <v>42213</v>
      </c>
      <c r="I207" s="46"/>
      <c r="J207" t="s">
        <v>20</v>
      </c>
      <c r="K207" t="s">
        <v>36</v>
      </c>
      <c r="L207" s="17">
        <v>12219713932</v>
      </c>
      <c r="M207" s="17">
        <v>1000000000</v>
      </c>
      <c r="N207" s="17">
        <v>0</v>
      </c>
      <c r="O207" s="17">
        <v>1000000000</v>
      </c>
      <c r="P207" s="17">
        <v>1200000000</v>
      </c>
      <c r="Q207" s="17">
        <v>2200000000</v>
      </c>
      <c r="R207" s="17">
        <v>0</v>
      </c>
      <c r="S207" s="17">
        <v>0</v>
      </c>
      <c r="T207" s="17">
        <v>0</v>
      </c>
      <c r="U207" s="17">
        <v>0</v>
      </c>
      <c r="V207" s="17"/>
      <c r="W207" s="17">
        <v>15419713932</v>
      </c>
      <c r="X207" s="17"/>
      <c r="AA207" t="s">
        <v>23</v>
      </c>
    </row>
    <row r="208" spans="1:27" x14ac:dyDescent="0.25">
      <c r="A208" t="s">
        <v>483</v>
      </c>
      <c r="B208" t="s">
        <v>484</v>
      </c>
      <c r="C208" t="str">
        <f>VLOOKUP(MasterTable[[#This Row],[Project Code and Name ]],PAProjects[LINKING_CODE],1,FALSE)</f>
        <v>1360 Markets and Agricultural Trade Improvements Programme (MATIP 2)</v>
      </c>
      <c r="D208" t="s">
        <v>932</v>
      </c>
      <c r="E208" t="str">
        <f>VLOOKUP(MasterTable[[#This Row],[Vote]],'MTEF 21-22'!A:B,2,FALSE)</f>
        <v>Ministry of Local Government</v>
      </c>
      <c r="F208" t="str">
        <f>CONCATENATE(MasterTable[[#This Row],[Vote]]," ",MasterTable[[#This Row],[Vote Name]])</f>
        <v>011 Ministry of Local Government</v>
      </c>
      <c r="G208" t="s">
        <v>25</v>
      </c>
      <c r="H208" s="16">
        <v>42213</v>
      </c>
      <c r="I208" s="16">
        <v>44742</v>
      </c>
      <c r="J208" t="s">
        <v>20</v>
      </c>
      <c r="K208" t="s">
        <v>36</v>
      </c>
      <c r="L208" s="17">
        <v>169643847368</v>
      </c>
      <c r="M208" s="17">
        <v>75115000000</v>
      </c>
      <c r="N208" s="17">
        <v>0</v>
      </c>
      <c r="O208" s="17"/>
      <c r="P208" s="17">
        <v>68400000000</v>
      </c>
      <c r="Q208" s="17">
        <v>68400000000</v>
      </c>
      <c r="R208" s="17"/>
      <c r="S208" s="17"/>
      <c r="T208" s="17"/>
      <c r="U208" s="17"/>
      <c r="V208" s="17"/>
      <c r="W208" s="17">
        <v>313158847368</v>
      </c>
      <c r="X208" s="17">
        <v>307330000000</v>
      </c>
      <c r="AA208" t="s">
        <v>28</v>
      </c>
    </row>
    <row r="209" spans="1:27" x14ac:dyDescent="0.25">
      <c r="A209" t="s">
        <v>483</v>
      </c>
      <c r="B209" t="s">
        <v>485</v>
      </c>
      <c r="C209" t="str">
        <f>VLOOKUP(MasterTable[[#This Row],[Project Code and Name ]],PAProjects[LINKING_CODE],1,FALSE)</f>
        <v>1381 Restoration of Livelihoods in Northern Region (PRELNOR)</v>
      </c>
      <c r="D209" t="s">
        <v>932</v>
      </c>
      <c r="E209" t="str">
        <f>VLOOKUP(MasterTable[[#This Row],[Vote]],'MTEF 21-22'!A:B,2,FALSE)</f>
        <v>Ministry of Local Government</v>
      </c>
      <c r="F209" t="str">
        <f>CONCATENATE(MasterTable[[#This Row],[Vote]]," ",MasterTable[[#This Row],[Vote Name]])</f>
        <v>011 Ministry of Local Government</v>
      </c>
      <c r="G209" t="s">
        <v>19</v>
      </c>
      <c r="H209" s="16">
        <v>42221</v>
      </c>
      <c r="I209" s="16">
        <v>44778</v>
      </c>
      <c r="J209" t="s">
        <v>20</v>
      </c>
      <c r="K209" t="s">
        <v>26</v>
      </c>
      <c r="L209" s="17">
        <v>10382720555</v>
      </c>
      <c r="M209" s="17">
        <v>4912240666</v>
      </c>
      <c r="N209" s="17">
        <v>0</v>
      </c>
      <c r="O209" s="17">
        <v>13409927982</v>
      </c>
      <c r="P209" s="17">
        <v>0</v>
      </c>
      <c r="Q209" s="17">
        <v>13409927982</v>
      </c>
      <c r="R209" s="17">
        <v>0</v>
      </c>
      <c r="S209" s="17"/>
      <c r="T209" s="17"/>
      <c r="U209" s="17"/>
      <c r="V209" s="17"/>
      <c r="W209" s="17">
        <v>28704889203</v>
      </c>
      <c r="X209" s="17">
        <v>34040000000</v>
      </c>
    </row>
    <row r="210" spans="1:27" x14ac:dyDescent="0.25">
      <c r="A210" t="s">
        <v>483</v>
      </c>
      <c r="B210" t="s">
        <v>485</v>
      </c>
      <c r="C210" t="str">
        <f>VLOOKUP(MasterTable[[#This Row],[Project Code and Name ]],PAProjects[LINKING_CODE],1,FALSE)</f>
        <v>1381 Restoration of Livelihoods in Northern Region (PRELNOR)</v>
      </c>
      <c r="D210" t="s">
        <v>932</v>
      </c>
      <c r="E210" t="str">
        <f>VLOOKUP(MasterTable[[#This Row],[Vote]],'MTEF 21-22'!A:B,2,FALSE)</f>
        <v>Ministry of Local Government</v>
      </c>
      <c r="F210" t="str">
        <f>CONCATENATE(MasterTable[[#This Row],[Vote]]," ",MasterTable[[#This Row],[Vote Name]])</f>
        <v>011 Ministry of Local Government</v>
      </c>
      <c r="G210" t="s">
        <v>25</v>
      </c>
      <c r="H210" s="16">
        <v>42221</v>
      </c>
      <c r="I210" s="16">
        <v>44778</v>
      </c>
      <c r="J210" t="s">
        <v>20</v>
      </c>
      <c r="K210" t="s">
        <v>26</v>
      </c>
      <c r="L210" s="17">
        <v>109296411445</v>
      </c>
      <c r="M210" s="17">
        <v>49622215035</v>
      </c>
      <c r="N210" s="17">
        <v>0</v>
      </c>
      <c r="O210" s="17">
        <v>37965322600</v>
      </c>
      <c r="P210" s="17">
        <v>0</v>
      </c>
      <c r="Q210" s="17">
        <v>37965322600</v>
      </c>
      <c r="R210" s="17">
        <v>0</v>
      </c>
      <c r="S210" s="17">
        <v>0</v>
      </c>
      <c r="T210" s="17">
        <v>0</v>
      </c>
      <c r="U210" s="17"/>
      <c r="V210" s="17"/>
      <c r="W210" s="17">
        <v>196883949080</v>
      </c>
      <c r="X210" s="17">
        <v>216081000000</v>
      </c>
    </row>
    <row r="211" spans="1:27" x14ac:dyDescent="0.25">
      <c r="A211" t="s">
        <v>483</v>
      </c>
      <c r="B211" t="s">
        <v>486</v>
      </c>
      <c r="C211" t="str">
        <f>VLOOKUP(MasterTable[[#This Row],[Project Code and Name ]],PAProjects[LINKING_CODE],1,FALSE)</f>
        <v>1509 Local Economic Growth (LEGS) Support Project</v>
      </c>
      <c r="D211" t="s">
        <v>932</v>
      </c>
      <c r="E211" t="str">
        <f>VLOOKUP(MasterTable[[#This Row],[Vote]],'MTEF 21-22'!A:B,2,FALSE)</f>
        <v>Ministry of Local Government</v>
      </c>
      <c r="F211" t="str">
        <f>CONCATENATE(MasterTable[[#This Row],[Vote]]," ",MasterTable[[#This Row],[Vote Name]])</f>
        <v>011 Ministry of Local Government</v>
      </c>
      <c r="G211" t="s">
        <v>19</v>
      </c>
      <c r="H211" s="16">
        <v>43521</v>
      </c>
      <c r="I211" s="16">
        <v>44982</v>
      </c>
      <c r="J211" t="s">
        <v>20</v>
      </c>
      <c r="K211" t="s">
        <v>36</v>
      </c>
      <c r="L211" s="17">
        <v>2000000000</v>
      </c>
      <c r="M211" s="17">
        <v>1000000000</v>
      </c>
      <c r="N211" s="17">
        <v>0</v>
      </c>
      <c r="O211" s="17">
        <v>3648000000</v>
      </c>
      <c r="P211" s="17">
        <v>3648000000</v>
      </c>
      <c r="Q211" s="17">
        <v>7296000000</v>
      </c>
      <c r="R211" s="17">
        <v>3648000000</v>
      </c>
      <c r="S211" s="17">
        <v>0</v>
      </c>
      <c r="T211" s="17">
        <v>0</v>
      </c>
      <c r="U211" s="17"/>
      <c r="V211" s="17"/>
      <c r="W211" s="17">
        <v>13944000000</v>
      </c>
      <c r="X211" s="17">
        <v>18592000000</v>
      </c>
    </row>
    <row r="212" spans="1:27" x14ac:dyDescent="0.25">
      <c r="A212" t="s">
        <v>483</v>
      </c>
      <c r="B212" t="s">
        <v>486</v>
      </c>
      <c r="C212" t="str">
        <f>VLOOKUP(MasterTable[[#This Row],[Project Code and Name ]],PAProjects[LINKING_CODE],1,FALSE)</f>
        <v>1509 Local Economic Growth (LEGS) Support Project</v>
      </c>
      <c r="D212" t="s">
        <v>932</v>
      </c>
      <c r="E212" t="str">
        <f>VLOOKUP(MasterTable[[#This Row],[Vote]],'MTEF 21-22'!A:B,2,FALSE)</f>
        <v>Ministry of Local Government</v>
      </c>
      <c r="F212" t="str">
        <f>CONCATENATE(MasterTable[[#This Row],[Vote]]," ",MasterTable[[#This Row],[Vote Name]])</f>
        <v>011 Ministry of Local Government</v>
      </c>
      <c r="G212" t="s">
        <v>25</v>
      </c>
      <c r="H212" s="16">
        <v>43521</v>
      </c>
      <c r="I212" s="16">
        <v>44982</v>
      </c>
      <c r="J212" t="s">
        <v>20</v>
      </c>
      <c r="K212" t="s">
        <v>36</v>
      </c>
      <c r="L212" s="17">
        <v>25550000000</v>
      </c>
      <c r="M212" s="17">
        <v>28209976100</v>
      </c>
      <c r="N212" s="17">
        <v>0</v>
      </c>
      <c r="O212" s="17">
        <v>0</v>
      </c>
      <c r="P212" s="17">
        <v>50710000000</v>
      </c>
      <c r="Q212" s="17">
        <v>50710000000</v>
      </c>
      <c r="R212" s="17">
        <v>43800000000</v>
      </c>
      <c r="S212" s="17">
        <v>0</v>
      </c>
      <c r="T212" s="17">
        <v>0</v>
      </c>
      <c r="U212" s="17"/>
      <c r="V212" s="17"/>
      <c r="W212" s="17">
        <v>148269976100</v>
      </c>
      <c r="X212" s="17">
        <v>220279952200</v>
      </c>
    </row>
    <row r="213" spans="1:27" x14ac:dyDescent="0.25">
      <c r="A213" t="s">
        <v>483</v>
      </c>
      <c r="B213" t="s">
        <v>487</v>
      </c>
      <c r="C213" t="str">
        <f>VLOOKUP(MasterTable[[#This Row],[Project Code and Name ]],PAProjects[LINKING_CODE],1,FALSE)</f>
        <v>1652 Retooling of Ministry of Local Government</v>
      </c>
      <c r="D213" t="s">
        <v>932</v>
      </c>
      <c r="E213" t="str">
        <f>VLOOKUP(MasterTable[[#This Row],[Vote]],'MTEF 21-22'!A:B,2,FALSE)</f>
        <v>Ministry of Local Government</v>
      </c>
      <c r="F213" t="str">
        <f>CONCATENATE(MasterTable[[#This Row],[Vote]]," ",MasterTable[[#This Row],[Vote Name]])</f>
        <v>011 Ministry of Local Government</v>
      </c>
      <c r="G213" t="s">
        <v>19</v>
      </c>
      <c r="H213" s="16">
        <v>44013</v>
      </c>
      <c r="I213" s="16">
        <v>45713</v>
      </c>
      <c r="J213" t="s">
        <v>20</v>
      </c>
      <c r="K213" t="s">
        <v>21</v>
      </c>
      <c r="L213" s="17">
        <v>18950000000</v>
      </c>
      <c r="M213" s="17">
        <v>18950000000</v>
      </c>
      <c r="N213" s="17">
        <v>0</v>
      </c>
      <c r="O213" s="17">
        <v>0</v>
      </c>
      <c r="P213" s="17">
        <v>18950000000</v>
      </c>
      <c r="Q213" s="17">
        <v>18950000000</v>
      </c>
      <c r="R213" s="17">
        <v>18950000000</v>
      </c>
      <c r="S213" s="17">
        <v>18950000000</v>
      </c>
      <c r="T213" s="17">
        <v>18950000000</v>
      </c>
      <c r="U213" s="17">
        <v>0</v>
      </c>
      <c r="V213" s="17"/>
      <c r="W213" s="17">
        <v>113700000000</v>
      </c>
      <c r="X213" s="17"/>
    </row>
    <row r="214" spans="1:27" x14ac:dyDescent="0.25">
      <c r="A214" t="s">
        <v>483</v>
      </c>
      <c r="B214" t="s">
        <v>488</v>
      </c>
      <c r="C214" t="str">
        <f>VLOOKUP(MasterTable[[#This Row],[Project Code and Name ]],PAProjects[LINKING_CODE],1,FALSE)</f>
        <v>1704 Development of Local Government's Revenue Collection and Management Information System</v>
      </c>
      <c r="D214" t="s">
        <v>932</v>
      </c>
      <c r="E214" t="str">
        <f>VLOOKUP(MasterTable[[#This Row],[Vote]],'MTEF 21-22'!A:B,2,FALSE)</f>
        <v>Ministry of Local Government</v>
      </c>
      <c r="F214" t="str">
        <f>CONCATENATE(MasterTable[[#This Row],[Vote]]," ",MasterTable[[#This Row],[Vote Name]])</f>
        <v>011 Ministry of Local Government</v>
      </c>
      <c r="G214" t="s">
        <v>19</v>
      </c>
      <c r="H214" s="16">
        <v>44378</v>
      </c>
      <c r="I214" s="16">
        <v>46203</v>
      </c>
      <c r="J214" t="s">
        <v>40</v>
      </c>
      <c r="K214" t="s">
        <v>36</v>
      </c>
      <c r="L214" s="17">
        <v>0</v>
      </c>
      <c r="M214" s="17">
        <v>0</v>
      </c>
      <c r="N214" s="17">
        <v>0</v>
      </c>
      <c r="O214" s="17"/>
      <c r="P214" s="17">
        <v>10814693757</v>
      </c>
      <c r="Q214" s="17">
        <v>10814693757</v>
      </c>
      <c r="R214" s="17">
        <v>11621873757</v>
      </c>
      <c r="S214" s="17">
        <v>12429053757</v>
      </c>
      <c r="T214" s="17">
        <v>13236233757</v>
      </c>
      <c r="U214" s="17">
        <v>10478515838</v>
      </c>
      <c r="V214" s="17"/>
      <c r="W214" s="17">
        <v>58580370866</v>
      </c>
      <c r="X214" s="17">
        <v>58580370866</v>
      </c>
      <c r="Y214" t="s">
        <v>489</v>
      </c>
    </row>
    <row r="215" spans="1:27" x14ac:dyDescent="0.25">
      <c r="A215" t="s">
        <v>490</v>
      </c>
      <c r="B215" t="s">
        <v>491</v>
      </c>
      <c r="C215" t="str">
        <f>VLOOKUP(MasterTable[[#This Row],[Project Code and Name ]],PAProjects[LINKING_CODE],1,FALSE)</f>
        <v>1641 Retooling of Ministry of Internal Affairs</v>
      </c>
      <c r="D215" t="s">
        <v>1184</v>
      </c>
      <c r="E215" t="str">
        <f>VLOOKUP(MasterTable[[#This Row],[Vote]],'MTEF 21-22'!A:B,2,FALSE)</f>
        <v>Ministry of Internal Affairs</v>
      </c>
      <c r="F215" t="str">
        <f>CONCATENATE(MasterTable[[#This Row],[Vote]]," ",MasterTable[[#This Row],[Vote Name]])</f>
        <v>009 Ministry of Internal Affairs</v>
      </c>
      <c r="G215" t="s">
        <v>19</v>
      </c>
      <c r="H215" s="16">
        <v>43837</v>
      </c>
      <c r="I215" s="46"/>
      <c r="J215" t="s">
        <v>20</v>
      </c>
      <c r="K215" t="s">
        <v>21</v>
      </c>
      <c r="L215" s="17">
        <v>0</v>
      </c>
      <c r="M215" s="17">
        <v>7428701718</v>
      </c>
      <c r="N215" s="17">
        <v>0</v>
      </c>
      <c r="O215" s="17">
        <v>0</v>
      </c>
      <c r="P215" s="17">
        <v>12651298282</v>
      </c>
      <c r="Q215" s="17">
        <v>12651298282</v>
      </c>
      <c r="R215" s="17">
        <v>8900000000</v>
      </c>
      <c r="S215" s="17">
        <v>8400000000</v>
      </c>
      <c r="T215" s="17">
        <v>7900000000</v>
      </c>
      <c r="U215" s="17"/>
      <c r="V215" s="17"/>
      <c r="W215" s="17">
        <v>45280000000</v>
      </c>
      <c r="X215" s="17">
        <v>43600000000</v>
      </c>
      <c r="Y215" t="s">
        <v>492</v>
      </c>
      <c r="AA215" t="s">
        <v>23</v>
      </c>
    </row>
    <row r="216" spans="1:27" x14ac:dyDescent="0.25">
      <c r="A216" t="s">
        <v>1748</v>
      </c>
      <c r="B216" t="s">
        <v>1412</v>
      </c>
      <c r="C216" s="148" t="str">
        <f>VLOOKUP(MasterTable[[#This Row],[Project Code and Name ]],PAProjects[LINKING_CODE],1,FALSE)</f>
        <v>1593 Retooling of Internal Security Organization</v>
      </c>
      <c r="D216" s="151" t="s">
        <v>1179</v>
      </c>
      <c r="E216" s="148" t="str">
        <f>VLOOKUP(MasterTable[[#This Row],[Vote]],'MTEF 21-22'!A:B,2,FALSE)</f>
        <v>Office of the President</v>
      </c>
      <c r="F216" s="148" t="str">
        <f>CONCATENATE(MasterTable[[#This Row],[Vote]]," ",MasterTable[[#This Row],[Vote Name]])</f>
        <v>001 Office of the President</v>
      </c>
      <c r="G216" t="s">
        <v>19</v>
      </c>
      <c r="H216" s="149">
        <v>44013</v>
      </c>
      <c r="I216" s="149">
        <v>45838</v>
      </c>
      <c r="J216" t="s">
        <v>20</v>
      </c>
      <c r="K216" t="s">
        <v>21</v>
      </c>
      <c r="L216" s="17">
        <v>0</v>
      </c>
      <c r="M216" s="17">
        <v>410710000</v>
      </c>
      <c r="N216" s="17"/>
      <c r="O216" s="17">
        <v>0</v>
      </c>
      <c r="P216" s="17">
        <v>159692082000</v>
      </c>
      <c r="Q216" s="17">
        <v>159692082000</v>
      </c>
      <c r="R216" s="17">
        <v>100613561000</v>
      </c>
      <c r="S216" s="17">
        <v>126889131500</v>
      </c>
      <c r="T216" s="17">
        <v>125114037500</v>
      </c>
      <c r="U216" s="17">
        <v>0</v>
      </c>
      <c r="V216" s="17"/>
      <c r="W216" s="17">
        <v>512719522000</v>
      </c>
      <c r="X216" s="17">
        <v>512719522000</v>
      </c>
      <c r="Y216" t="s">
        <v>1749</v>
      </c>
    </row>
    <row r="217" spans="1:27" x14ac:dyDescent="0.25">
      <c r="A217" t="s">
        <v>1748</v>
      </c>
      <c r="B217" t="s">
        <v>1442</v>
      </c>
      <c r="C217" s="148" t="str">
        <f>VLOOKUP(MasterTable[[#This Row],[Project Code and Name ]],PAProjects[LINKING_CODE],1,FALSE)</f>
        <v>1589 Retooling of Office of the President</v>
      </c>
      <c r="D217" s="151" t="s">
        <v>1179</v>
      </c>
      <c r="E217" s="148" t="str">
        <f>VLOOKUP(MasterTable[[#This Row],[Vote]],'MTEF 21-22'!A:B,2,FALSE)</f>
        <v>Office of the President</v>
      </c>
      <c r="F217" s="148" t="str">
        <f>CONCATENATE(MasterTable[[#This Row],[Vote]]," ",MasterTable[[#This Row],[Vote Name]])</f>
        <v>001 Office of the President</v>
      </c>
      <c r="G217" t="s">
        <v>19</v>
      </c>
      <c r="H217" s="149">
        <v>44013</v>
      </c>
      <c r="I217" s="149">
        <v>45838</v>
      </c>
      <c r="J217" t="s">
        <v>20</v>
      </c>
      <c r="K217" t="s">
        <v>21</v>
      </c>
      <c r="L217" s="17">
        <v>0</v>
      </c>
      <c r="M217" s="17">
        <v>14650000000</v>
      </c>
      <c r="N217" s="17">
        <v>0</v>
      </c>
      <c r="O217" s="17">
        <v>0</v>
      </c>
      <c r="P217" s="17">
        <v>15000000000</v>
      </c>
      <c r="Q217" s="17">
        <v>15000000000</v>
      </c>
      <c r="R217" s="17">
        <v>15000000000</v>
      </c>
      <c r="S217" s="17">
        <v>15000000000</v>
      </c>
      <c r="T217" s="17">
        <v>15000000000</v>
      </c>
      <c r="U217" s="17"/>
      <c r="V217" s="17"/>
      <c r="W217" s="17">
        <v>74650000000</v>
      </c>
      <c r="X217" s="17">
        <v>72000000000</v>
      </c>
      <c r="Y217" t="s">
        <v>1750</v>
      </c>
    </row>
  </sheetData>
  <protectedRanges>
    <protectedRange sqref="B217" name="OpenRange_3"/>
  </protectedRange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33"/>
  <sheetViews>
    <sheetView topLeftCell="A7" zoomScale="80" zoomScaleNormal="80" workbookViewId="0">
      <selection activeCell="H19" sqref="H19"/>
    </sheetView>
  </sheetViews>
  <sheetFormatPr defaultRowHeight="15" x14ac:dyDescent="0.25"/>
  <cols>
    <col min="1" max="1" width="11" bestFit="1" customWidth="1"/>
    <col min="2" max="2" width="8.140625" customWidth="1"/>
    <col min="3" max="3" width="9.140625" customWidth="1"/>
    <col min="4" max="4" width="11.5703125" customWidth="1"/>
    <col min="5" max="5" width="10.28515625" customWidth="1"/>
    <col min="6" max="6" width="9.42578125" customWidth="1"/>
    <col min="7" max="7" width="9.5703125" customWidth="1"/>
    <col min="8" max="8" width="7.140625" customWidth="1"/>
    <col min="9" max="9" width="7.85546875" bestFit="1" customWidth="1"/>
    <col min="10" max="10" width="8.5703125" bestFit="1" customWidth="1"/>
    <col min="11" max="11" width="3.7109375" customWidth="1"/>
    <col min="12" max="12" width="10.140625" bestFit="1" customWidth="1"/>
    <col min="15" max="16" width="10.140625" bestFit="1" customWidth="1"/>
    <col min="18" max="18" width="10.140625" bestFit="1" customWidth="1"/>
  </cols>
  <sheetData>
    <row r="1" spans="1:22" x14ac:dyDescent="0.25">
      <c r="A1" s="103" t="s">
        <v>1498</v>
      </c>
      <c r="B1" t="s">
        <v>1923</v>
      </c>
      <c r="D1" s="15" t="s">
        <v>1658</v>
      </c>
    </row>
    <row r="3" spans="1:22" x14ac:dyDescent="0.25">
      <c r="A3" s="103" t="s">
        <v>1618</v>
      </c>
      <c r="D3" s="109" t="s">
        <v>1665</v>
      </c>
      <c r="H3" s="109" t="s">
        <v>1666</v>
      </c>
      <c r="I3" s="15"/>
      <c r="J3" s="15"/>
    </row>
    <row r="4" spans="1:22" x14ac:dyDescent="0.25">
      <c r="A4" s="9" t="s">
        <v>1645</v>
      </c>
      <c r="B4" s="154">
        <v>9528.9915095588949</v>
      </c>
      <c r="D4" s="160" t="s">
        <v>1659</v>
      </c>
      <c r="E4" t="s">
        <v>1619</v>
      </c>
      <c r="F4" s="106">
        <f>B4</f>
        <v>9528.9915095588949</v>
      </c>
      <c r="H4" s="161" t="s">
        <v>1659</v>
      </c>
      <c r="I4" t="s">
        <v>1619</v>
      </c>
      <c r="J4" s="106">
        <f>B4</f>
        <v>9528.9915095588949</v>
      </c>
    </row>
    <row r="5" spans="1:22" x14ac:dyDescent="0.25">
      <c r="A5" s="9" t="s">
        <v>1646</v>
      </c>
      <c r="B5" s="154">
        <v>7741.8276345229979</v>
      </c>
      <c r="D5" s="160"/>
      <c r="E5" t="s">
        <v>1620</v>
      </c>
      <c r="F5" s="106">
        <f t="shared" ref="F5:F11" si="0">B5</f>
        <v>7741.8276345229979</v>
      </c>
      <c r="H5" s="161"/>
      <c r="I5" t="s">
        <v>1653</v>
      </c>
      <c r="J5" s="17">
        <v>7284.096898946088</v>
      </c>
      <c r="N5" s="106">
        <f>F4+F6+F8+F10</f>
        <v>30780.655316083194</v>
      </c>
      <c r="P5" s="104">
        <f>J5+J8+J11+J14</f>
        <v>29139.39554239835</v>
      </c>
      <c r="R5" s="106">
        <f>N5-P5</f>
        <v>1641.2597736848438</v>
      </c>
    </row>
    <row r="6" spans="1:22" x14ac:dyDescent="0.25">
      <c r="A6" s="9" t="s">
        <v>1648</v>
      </c>
      <c r="B6" s="104">
        <v>7795.6071800952377</v>
      </c>
      <c r="D6" s="160" t="s">
        <v>1660</v>
      </c>
      <c r="E6" t="s">
        <v>1619</v>
      </c>
      <c r="F6" s="106">
        <f t="shared" si="0"/>
        <v>7795.6071800952377</v>
      </c>
      <c r="H6" s="161"/>
      <c r="I6" t="s">
        <v>1664</v>
      </c>
      <c r="J6" s="17">
        <v>16190</v>
      </c>
      <c r="N6" s="106">
        <f>F5+F7+F9+F11</f>
        <v>13151.291143804998</v>
      </c>
      <c r="P6" s="158">
        <f>J4-J5</f>
        <v>2244.8946106128069</v>
      </c>
    </row>
    <row r="7" spans="1:22" x14ac:dyDescent="0.25">
      <c r="A7" s="9" t="s">
        <v>1647</v>
      </c>
      <c r="B7" s="104">
        <v>2644.2270551610004</v>
      </c>
      <c r="D7" s="160"/>
      <c r="E7" t="s">
        <v>1620</v>
      </c>
      <c r="F7" s="106">
        <f t="shared" si="0"/>
        <v>2644.2270551610004</v>
      </c>
      <c r="H7" s="160" t="s">
        <v>1660</v>
      </c>
      <c r="I7" t="s">
        <v>1619</v>
      </c>
      <c r="J7" s="104">
        <f>B6</f>
        <v>7795.6071800952377</v>
      </c>
      <c r="N7" s="106">
        <f>N5+N6</f>
        <v>43931.94645988819</v>
      </c>
    </row>
    <row r="8" spans="1:22" x14ac:dyDescent="0.25">
      <c r="A8" s="9" t="s">
        <v>1649</v>
      </c>
      <c r="B8" s="104">
        <v>7202.1411274450784</v>
      </c>
      <c r="D8" s="160" t="s">
        <v>1661</v>
      </c>
      <c r="E8" t="s">
        <v>1619</v>
      </c>
      <c r="F8" s="106">
        <f t="shared" si="0"/>
        <v>7202.1411274450784</v>
      </c>
      <c r="H8" s="160"/>
      <c r="I8" t="s">
        <v>1653</v>
      </c>
      <c r="J8" s="17">
        <v>7284.096898946088</v>
      </c>
      <c r="L8" s="158">
        <f>J4-J5</f>
        <v>2244.8946106128069</v>
      </c>
    </row>
    <row r="9" spans="1:22" x14ac:dyDescent="0.25">
      <c r="A9" s="9" t="s">
        <v>1650</v>
      </c>
      <c r="B9" s="104">
        <v>1661.7736816229999</v>
      </c>
      <c r="D9" s="160"/>
      <c r="E9" t="s">
        <v>1620</v>
      </c>
      <c r="F9" s="106">
        <f t="shared" si="0"/>
        <v>1661.7736816229999</v>
      </c>
      <c r="H9" s="160"/>
      <c r="I9" t="s">
        <v>1664</v>
      </c>
      <c r="J9" s="17">
        <v>17885</v>
      </c>
      <c r="N9" s="104">
        <f>J7-J8</f>
        <v>511.51028114914971</v>
      </c>
      <c r="O9" s="158">
        <f>J4-J5</f>
        <v>2244.8946106128069</v>
      </c>
      <c r="P9" s="158">
        <f>N9+O9</f>
        <v>2756.4048917619566</v>
      </c>
    </row>
    <row r="10" spans="1:22" x14ac:dyDescent="0.25">
      <c r="A10" s="9" t="s">
        <v>1651</v>
      </c>
      <c r="B10" s="104">
        <v>6253.9154989839844</v>
      </c>
      <c r="D10" s="160" t="s">
        <v>1662</v>
      </c>
      <c r="E10" t="s">
        <v>1619</v>
      </c>
      <c r="F10" s="106">
        <f t="shared" si="0"/>
        <v>6253.9154989839844</v>
      </c>
      <c r="H10" s="160" t="s">
        <v>1661</v>
      </c>
      <c r="I10" t="s">
        <v>1619</v>
      </c>
      <c r="J10" s="104">
        <f>B8</f>
        <v>7202.1411274450784</v>
      </c>
      <c r="R10" s="158">
        <f>J4-J5</f>
        <v>2244.8946106128069</v>
      </c>
    </row>
    <row r="11" spans="1:22" x14ac:dyDescent="0.25">
      <c r="A11" s="9" t="s">
        <v>1652</v>
      </c>
      <c r="B11" s="104">
        <v>1103.4627724979998</v>
      </c>
      <c r="D11" s="160"/>
      <c r="E11" t="s">
        <v>1620</v>
      </c>
      <c r="F11" s="106">
        <f t="shared" si="0"/>
        <v>1103.4627724979998</v>
      </c>
      <c r="H11" s="160"/>
      <c r="I11" t="s">
        <v>1653</v>
      </c>
      <c r="J11" s="17">
        <v>7284.096898946088</v>
      </c>
    </row>
    <row r="12" spans="1:22" x14ac:dyDescent="0.25">
      <c r="H12" s="160"/>
      <c r="I12" t="s">
        <v>1664</v>
      </c>
      <c r="J12" s="17">
        <v>14731</v>
      </c>
    </row>
    <row r="13" spans="1:22" x14ac:dyDescent="0.25">
      <c r="H13" s="160" t="s">
        <v>1662</v>
      </c>
      <c r="I13" t="s">
        <v>1619</v>
      </c>
      <c r="J13" s="104">
        <f>B10</f>
        <v>6253.9154989839844</v>
      </c>
    </row>
    <row r="14" spans="1:22" x14ac:dyDescent="0.25">
      <c r="H14" s="160"/>
      <c r="I14" t="s">
        <v>1653</v>
      </c>
      <c r="J14" s="17">
        <v>7287.1048455600867</v>
      </c>
      <c r="L14" s="15" t="s">
        <v>1668</v>
      </c>
      <c r="U14" s="15" t="s">
        <v>1667</v>
      </c>
      <c r="V14" s="15" t="s">
        <v>1669</v>
      </c>
    </row>
    <row r="15" spans="1:22" x14ac:dyDescent="0.25">
      <c r="B15" s="15" t="s">
        <v>1657</v>
      </c>
      <c r="H15" s="160"/>
      <c r="I15" t="s">
        <v>1664</v>
      </c>
      <c r="J15" s="17">
        <v>15384</v>
      </c>
    </row>
    <row r="32" spans="2:21" x14ac:dyDescent="0.25">
      <c r="B32" s="15" t="s">
        <v>1663</v>
      </c>
      <c r="L32" s="15" t="s">
        <v>1663</v>
      </c>
      <c r="U32" s="15" t="s">
        <v>1663</v>
      </c>
    </row>
    <row r="33" spans="2:21" x14ac:dyDescent="0.25">
      <c r="B33" t="s">
        <v>1670</v>
      </c>
      <c r="L33" t="s">
        <v>1670</v>
      </c>
      <c r="U33" t="s">
        <v>1670</v>
      </c>
    </row>
  </sheetData>
  <mergeCells count="8">
    <mergeCell ref="H13:H15"/>
    <mergeCell ref="D4:D5"/>
    <mergeCell ref="D6:D7"/>
    <mergeCell ref="D8:D9"/>
    <mergeCell ref="D10:D11"/>
    <mergeCell ref="H4:H6"/>
    <mergeCell ref="H7:H9"/>
    <mergeCell ref="H10:H12"/>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G e m i n i   x m l n s = " h t t p : / / g e m i n i / p i v o t c u s t o m i z a t i o n / T a b l e X M L _ A g g r e g a t e " > < C u s t o m C o n t e n t > < ! [ C D A T A [ < T a b l e W i d g e t G r i d S e r i a l i z a t i o n   x m l n s : x s d = " h t t p : / / w w w . w 3 . o r g / 2 0 0 1 / X M L S c h e m a "   x m l n s : x s i = " h t t p : / / w w w . w 3 . o r g / 2 0 0 1 / X M L S c h e m a - i n s t a n c e " > < C o l u m n S u g g e s t e d T y p e   / > < C o l u m n F o r m a t   / > < C o l u m n A c c u r a c y   / > < C o l u m n C u r r e n c y S y m b o l   / > < C o l u m n P o s i t i v e P a t t e r n   / > < C o l u m n N e g a t i v e P a t t e r n   / > < C o l u m n W i d t h s > < i t e m > < k e y > < s t r i n g > S o u r c e . N a m e < / s t r i n g > < / k e y > < v a l u e > < i n t > 1 6 2 < / i n t > < / v a l u e > < / i t e m > < i t e m > < k e y > < s t r i n g > V o t e   N a m e   & a m p ;   C o d e < / s t r i n g > < / k e y > < v a l u e > < i n t > 2 1 2 < / i n t > < / v a l u e > < / i t e m > < i t e m > < k e y > < s t r i n g > S e c t o r < / s t r i n g > < / k e y > < v a l u e > < i n t > 1 0 1 < / i n t > < / v a l u e > < / i t e m > < i t e m > < k e y > < s t r i n g > P r o j e c t   C o d e   a n d   N a m e < / s t r i n g > < / k e y > < v a l u e > < i n t > 2 5 3 < / i n t > < / v a l u e > < / i t e m > < i t e m > < k e y > < s t r i n g > F u n d i n g   S o u r c e < / s t r i n g > < / k e y > < v a l u e > < i n t > 1 7 9 < / i n t > < / v a l u e > < / i t e m > < i t e m > < k e y > < s t r i n g > S t a r t   D a t e     d d / m m / y y y y < / s t r i n g > < / k e y > < v a l u e > < i n t > 2 5 2 < / i n t > < / v a l u e > < / i t e m > < i t e m > < k e y > < s t r i n g > E n d   D a t e     d d / m m / y y y y < / s t r i n g > < / k e y > < v a l u e > < i n t > 2 4 3 < / i n t > < / v a l u e > < / i t e m > < i t e m > < k e y > < s t r i n g > P r o j e c t   S t a t u s < / s t r i n g > < / k e y > < v a l u e > < i n t > 1 6 7 < / i n t > < / v a l u e > < / i t e m > < i t e m > < k e y > < s t r i n g > P r o j e c t   C l a s s i f i c a t i o n < / s t r i n g > < / k e y > < v a l u e > < i n t > 2 2 6 < / i n t > < / v a l u e > < / i t e m > < i t e m > < k e y > < s t r i n g > S p e n d i n g   s i n c e   s t a r t   o f   p r o j e c t < / s t r i n g > < / k e y > < v a l u e > < i n t > 3 1 0 < / i n t > < / v a l u e > < / i t e m > < i t e m > < k e y > < s t r i n g > A p p r o v e d   B u d g e t   F Y   2 0 2 0 / 2 1 < / s t r i n g > < / k e y > < v a l u e > < i n t > 3 0 5 < / i n t > < / v a l u e > < / i t e m > < i t e m > < k e y > < s t r i n g > E s t i m a t e   o f   A r r e a r s   a t   e n d   o f   t h e   c u r r e n t   F Y   2 0 2 0 / 2 1   ( v a l u e ) < / s t r i n g > < / k e y > < v a l u e > < i n t > 5 7 3 < / i n t > < / v a l u e > < / i t e m > < i t e m > < k e y > < s t r i n g > C o u n t e r p a r t   F u n d i n g   s i g n e d   a g r e e m e n t s   o n l y   ( v a l u e   n e x t   F Y ) < / s t r i n g > < / k e y > < v a l u e > < i n t > 5 7 4 < / i n t > < / v a l u e > < / i t e m > < i t e m > < k e y > < s t r i n g > C a s h   R e q u i r e d   f o r   C o m m i t m e n t s   ( v a l u e   n e x t   F Y ) < / s t r i n g > < / k e y > < v a l u e > < i n t > 4 6 8 < / i n t > < / v a l u e > < / i t e m > < i t e m > < k e y > < s t r i n g > A r r e a r s   +   A l l   C o n t r a c t u a l   C o m m i t m e n t s   ( v a l u e   n e x t   F Y ) < / s t r i n g > < / k e y > < v a l u e > < i n t > 5 2 4 < / i n t > < / v a l u e > < / i t e m > < i t e m > < k e y > < s t r i n g > F Y 1   ( F Y 2 2 - 2 3 ) < / s t r i n g > < / k e y > < v a l u e > < i n t > 1 7 7 < / i n t > < / v a l u e > < / i t e m > < i t e m > < k e y > < s t r i n g > F Y 2   ( F Y 2 3 - 2 4 ) < / s t r i n g > < / k e y > < v a l u e > < i n t > 1 7 7 < / i n t > < / v a l u e > < / i t e m > < i t e m > < k e y > < s t r i n g > F Y 3   ( F Y 2 4 - 2 5 ) < / s t r i n g > < / k e y > < v a l u e > < i n t > 1 7 7 < / i n t > < / v a l u e > < / i t e m > < i t e m > < k e y > < s t r i n g > F Y 4   ( F Y 2 5 - 2 6 ) < / s t r i n g > < / k e y > < v a l u e > < i n t > 1 7 7 < / i n t > < / v a l u e > < / i t e m > < i t e m > < k e y > < s t r i n g > O u t s t a n d i n g   C o m m i t m e n t s < / s t r i n g > < / k e y > < v a l u e > < i n t > 2 7 4 < / i n t > < / v a l u e > < / i t e m > < i t e m > < k e y > < s t r i n g > ( C a l c u l a t e d   V a l u e ) < / s t r i n g > < / k e y > < v a l u e > < i n t > 2 0 3 < / i n t > < / v a l u e > < / i t e m > < i t e m > < k e y > < s t r i n g > A p p r o v e d   P r o j e c t   C o s t s   b y   D C   a s   i n d i c a t e d   i n   t h e   P I P < / s t r i n g > < / k e y > < v a l u e > < i n t > 5 1 5 < / i n t > < / v a l u e > < / i t e m > < i t e m > < k e y > < s t r i n g > C o m m e n t s   f r o m   M D A   ( I m p o r t a n t   i n f o r m a t i o n   o r   a s s u m p t i o n s   w h e n   p o p u l a t i n g   t h e   t e m p l a t e ) < / s t r i n g > < / k e y > < v a l u e > < i n t > 8 3 9 < / i n t > < / v a l u e > < / i t e m > < i t e m > < k e y > < s t r i n g > P I M   P r o c e s s   ( F o u r   G a t e s ) < / s t r i n g > < / k e y > < v a l u e > < i n t > 2 7 7 < / i n t > < / v a l u e > < / i t e m > < i t e m > < k e y > < s t r i n g > S e l e c t   f o r   f i r s t   c a l l   o n   r e s o u r c e s ?   ( Y / N ) < / s t r i n g > < / k e y > < v a l u e > < i n t > 3 8 6 < / i n t > < / v a l u e > < / i t e m > < i t e m > < k e y > < s t r i n g > V o t e 2 < / s t r i n g > < / k e y > < v a l u e > < i n t > 9 4 < / i n t > < / v a l u e > < / i t e m > < i t e m > < k e y > < s t r i n g > V o t e   N a m e 2 < / s t r i n g > < / k e y > < v a l u e > < i n t > 1 5 1 < / i n t > < / v a l u e > < / i t e m > < / C o l u m n W i d t h s > < C o l u m n D i s p l a y I n d e x > < i t e m > < k e y > < s t r i n g > S o u r c e . N a m e < / s t r i n g > < / k e y > < v a l u e > < i n t > 0 < / i n t > < / v a l u e > < / i t e m > < i t e m > < k e y > < s t r i n g > V o t e   N a m e   & a m p ;   C o d e < / s t r i n g > < / k e y > < v a l u e > < i n t > 1 < / i n t > < / v a l u e > < / i t e m > < i t e m > < k e y > < s t r i n g > S e c t o r < / s t r i n g > < / k e y > < v a l u e > < i n t > 2 < / i n t > < / v a l u e > < / i t e m > < i t e m > < k e y > < s t r i n g > P r o j e c t   C o d e   a n d   N a m e < / s t r i n g > < / k e y > < v a l u e > < i n t > 3 < / i n t > < / v a l u e > < / i t e m > < i t e m > < k e y > < s t r i n g > F u n d i n g   S o u r c e < / s t r i n g > < / k e y > < v a l u e > < i n t > 4 < / i n t > < / v a l u e > < / i t e m > < i t e m > < k e y > < s t r i n g > S t a r t   D a t e     d d / m m / y y y y < / s t r i n g > < / k e y > < v a l u e > < i n t > 5 < / i n t > < / v a l u e > < / i t e m > < i t e m > < k e y > < s t r i n g > E n d   D a t e     d d / m m / y y y y < / s t r i n g > < / k e y > < v a l u e > < i n t > 6 < / i n t > < / v a l u e > < / i t e m > < i t e m > < k e y > < s t r i n g > P r o j e c t   S t a t u s < / s t r i n g > < / k e y > < v a l u e > < i n t > 7 < / i n t > < / v a l u e > < / i t e m > < i t e m > < k e y > < s t r i n g > P r o j e c t   C l a s s i f i c a t i o n < / s t r i n g > < / k e y > < v a l u e > < i n t > 8 < / i n t > < / v a l u e > < / i t e m > < i t e m > < k e y > < s t r i n g > S p e n d i n g   s i n c e   s t a r t   o f   p r o j e c t < / s t r i n g > < / k e y > < v a l u e > < i n t > 9 < / i n t > < / v a l u e > < / i t e m > < i t e m > < k e y > < s t r i n g > A p p r o v e d   B u d g e t   F Y   2 0 2 0 / 2 1 < / s t r i n g > < / k e y > < v a l u e > < i n t > 1 0 < / i n t > < / v a l u e > < / i t e m > < i t e m > < k e y > < s t r i n g > E s t i m a t e   o f   A r r e a r s   a t   e n d   o f   t h e   c u r r e n t   F Y   2 0 2 0 / 2 1   ( v a l u e ) < / s t r i n g > < / k e y > < v a l u e > < i n t > 1 1 < / i n t > < / v a l u e > < / i t e m > < i t e m > < k e y > < s t r i n g > C o u n t e r p a r t   F u n d i n g   s i g n e d   a g r e e m e n t s   o n l y   ( v a l u e   n e x t   F Y ) < / s t r i n g > < / k e y > < v a l u e > < i n t > 1 2 < / i n t > < / v a l u e > < / i t e m > < i t e m > < k e y > < s t r i n g > C a s h   R e q u i r e d   f o r   C o m m i t m e n t s   ( v a l u e   n e x t   F Y ) < / s t r i n g > < / k e y > < v a l u e > < i n t > 1 3 < / i n t > < / v a l u e > < / i t e m > < i t e m > < k e y > < s t r i n g > A r r e a r s   +   A l l   C o n t r a c t u a l   C o m m i t m e n t s   ( v a l u e   n e x t   F Y ) < / s t r i n g > < / k e y > < v a l u e > < i n t > 1 4 < / i n t > < / v a l u e > < / i t e m > < i t e m > < k e y > < s t r i n g > F Y 1   ( F Y 2 2 - 2 3 ) < / s t r i n g > < / k e y > < v a l u e > < i n t > 1 5 < / i n t > < / v a l u e > < / i t e m > < i t e m > < k e y > < s t r i n g > F Y 2   ( F Y 2 3 - 2 4 ) < / s t r i n g > < / k e y > < v a l u e > < i n t > 1 6 < / i n t > < / v a l u e > < / i t e m > < i t e m > < k e y > < s t r i n g > F Y 3   ( F Y 2 4 - 2 5 ) < / s t r i n g > < / k e y > < v a l u e > < i n t > 1 7 < / i n t > < / v a l u e > < / i t e m > < i t e m > < k e y > < s t r i n g > F Y 4   ( F Y 2 5 - 2 6 ) < / s t r i n g > < / k e y > < v a l u e > < i n t > 1 8 < / i n t > < / v a l u e > < / i t e m > < i t e m > < k e y > < s t r i n g > O u t s t a n d i n g   C o m m i t m e n t s < / s t r i n g > < / k e y > < v a l u e > < i n t > 1 9 < / i n t > < / v a l u e > < / i t e m > < i t e m > < k e y > < s t r i n g > ( C a l c u l a t e d   V a l u e ) < / s t r i n g > < / k e y > < v a l u e > < i n t > 2 0 < / i n t > < / v a l u e > < / i t e m > < i t e m > < k e y > < s t r i n g > A p p r o v e d   P r o j e c t   C o s t s   b y   D C   a s   i n d i c a t e d   i n   t h e   P I P < / s t r i n g > < / k e y > < v a l u e > < i n t > 2 1 < / i n t > < / v a l u e > < / i t e m > < i t e m > < k e y > < s t r i n g > C o m m e n t s   f r o m   M D A   ( I m p o r t a n t   i n f o r m a t i o n   o r   a s s u m p t i o n s   w h e n   p o p u l a t i n g   t h e   t e m p l a t e ) < / s t r i n g > < / k e y > < v a l u e > < i n t > 2 2 < / i n t > < / v a l u e > < / i t e m > < i t e m > < k e y > < s t r i n g > P I M   P r o c e s s   ( F o u r   G a t e s ) < / s t r i n g > < / k e y > < v a l u e > < i n t > 2 3 < / i n t > < / v a l u e > < / i t e m > < i t e m > < k e y > < s t r i n g > S e l e c t   f o r   f i r s t   c a l l   o n   r e s o u r c e s ?   ( Y / N ) < / s t r i n g > < / k e y > < v a l u e > < i n t > 2 4 < / i n t > < / v a l u e > < / i t e m > < i t e m > < k e y > < s t r i n g > V o t e 2 < / s t r i n g > < / k e y > < v a l u e > < i n t > 2 5 < / i n t > < / v a l u e > < / i t e m > < i t e m > < k e y > < s t r i n g > V o t e   N a m e 2 < / s t r i n g > < / k e y > < v a l u e > < i n t > 2 6 < / i n t > < / v a l u e > < / i t e m > < / C o l u m n D i s p l a y I n d e x > < C o l u m n F r o z e n   / > < C o l u m n C h e c k e d   / > < C o l u m n F i l t e r   / > < S e l e c t i o n F i l t e r   / > < F i l t e r P a r a m e t e r s   / > < I s S o r t D e s c e n d i n g > f a l s e < / I s S o r t D e s c e n d i n g > < / T a b l e W i d g e t G r i d S e r i a l i z a t i o n > ] ] > < / C u s t o m C o n t e n t > < / G e m i n i > 
</file>

<file path=customXml/item2.xml>��< ? x m l   v e r s i o n = " 1 . 0 "   e n c o d i n g = " u t f - 1 6 " ? > < D a t a M a s h u p   s q m i d = " a e d 5 5 c 2 5 - 2 a a e - 4 d 0 1 - a e 2 5 - d 5 f 6 a 8 d 0 0 3 1 3 "   x m l n s = " h t t p : / / s c h e m a s . m i c r o s o f t . c o m / D a t a M a s h u p " > A A A A A A U J A A B Q S w M E F A A C A A g A D W x s U l 1 A t p q m A A A A + A A A A B I A H A B D b 2 5 m a W c v U G F j a 2 F n Z S 5 4 b W w g o h g A K K A U A A A A A A A A A A A A A A A A A A A A A A A A A A A A h Y 8 x D o I w G E a v Q r r T l q J G z U 8 Z X C U x I R r X p l R o h G J o s d z N w S N 5 B U k U d X P 8 X t 7 w v s f t D u n Q 1 M F V d V a 3 J k E R p i h Q R r a F N m W C e n c K l y j l s B P y L E o V j L K x 6 8 E W C a q c u 6 w J 8 d 5 j H + O 2 K w m j N C L H b J v L S j U C f W T 9 X w 6 1 s U 4 Y q R C H w y u G M x y v 8 G z O F j h i M Z A J Q 6 b N V 2 F j M a Z A f i B s + t r 1 n e L K h P s c y D S B v F / w J 1 B L A w Q U A A I A C A A N b G x 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D W x s U p 0 Y 7 M v 9 B Q A A j R Y A A B M A H A B G b 3 J t d W x h c y 9 T Z W N 0 a W 9 u M S 5 t I K I Y A C i g F A A A A A A A A A A A A A A A A A A A A A A A A A A A A O 1 Y 3 V P b O B B / Z 4 b / Y c d 5 c e Z C K C n t Q 3 t p J w 2 k z f T 4 O K D X Y U L m R t h K o s O 2 f J I c y G X y v 9 9 K c m I 7 t q G 0 0 7 f y A t 5 d 7 a 7 2 8 y c k 9 R T j E V z a 3 w d v d 3 d 2 d + S M C O p D w 7 m g c 0 b v 8 c + T 6 z 4 o G s Y B U V T u S R q g O P U d 6 E J A 1 e 4 O 4 M 8 l T 4 R H k T L g g U 9 F e 8 A C K l 2 n / + b m i 6 R C 3 t z d k 7 t k S i K f 3 B x R e a d 4 f P P l Y + / 0 q H f z l J V m y 1 p o O K h T U e 3 a J + b 7 N A J j 4 0 C 7 c U V u A 9 q + N E c u + L 1 0 r T s t o M S b w a i n l G C 3 C a o d v x / Z w + P 3 8 P s 7 U C K h m f 5 h N O d 3 F P q J V D y E Q R L Z o G Q G e r 7 f 5 0 E S R m 6 t M y 1 w r g S J 5 I S L 0 N C c 1 I n G N t 0 d 9 X m k a K T G z c y F C x q R E J V a M / n L W U 5 K d + u d b c H S O U V J 7 Y m N Q t t 8 r v J G Q j 5 H I 2 d q R k W F K R v H z F T J K W 0 j r 7 t 8 6 Z y 1 4 4 c Y 0 4 7 H j f J U S c 6 a 5 Z u / N 8 G t 8 b A q u F a J F d H O a I e 3 I 9 1 w L g n W F b W f z V y 8 + z M S T b V v i 5 h m L m 3 O W 7 W a q d X W 3 K S 1 3 I 6 G w g N Y y g 9 q p S N 1 L v g / G E + U 9 y m g A t B S U B L D F P o s m q a d V G J f K i I U H G F v Q M M N J k 3 f 3 w / D / Q X + r E V 9 5 B n R Y 7 T x T Y J r z 1 C 3 S m S 9 4 w G R k k 2 Y R 3 S J l T 2 L q f V c s g h H g D S O 8 g n E 9 j j K D y P 1 + r C t w 2 g O 9 G J k 6 f R + S P w p V T C 4 h s 6 L z o v 9 z k F Z 9 l g q F u q 7 o M K e E J Q I C U Q B W t Q U L A / w E i R H e S 3 g z k m A j V 3 W 1 u c J t p y I t Y f r e E s 2 j d A X M h W U h q h I A o + C R a o D I r w l q q 7 S R e Q M L u i / C d N T A K s F E x y G T F k d T x 5 f X + Y 3 6 A U B 6 F E g i K c S E j x P z e A a r z u 4 7 n T 2 O i 8 r 2 R 3 D f r n X O a x k v z T s w 7 3 O q 0 r 2 o W G / 2 u u 8 r m C f J Q q T b a O Y c 7 o s 6 P Z J 4 C V 6 r v v w V 0 1 q N k W R t Y v E A N w u 4 K g P R A J D O 5 7 R w C K T 9 / P h e V W C Q x u 4 i c C p e H L U A 3 c Y x l y g m w o P 6 p 4 2 R Q y Y L i z q J I z 1 l 4 T 7 G Y 7 w m M f a S X 0 d b W C 9 i 5 r l x h i e a D c 9 K j F D A + x X + K h 3 1 k a Q R A v b G W a Q m t q Y M C E V e A R z j d Y F l a b L 5 X t w r / d P i x Z W F R t P L 7 X K R b c 1 w t J l 4 4 4 a d W N n r P d e l A R B s 7 m 7 w 6 J q S 3 k c c E 4 E H k T m A d o v T l J A O o H R U G 5 k / k y o W H T 1 W m 3 B B x Y R s R j i c l Q 4 P K j o F g + 3 j M d d x 4 r p V G 6 p W f e W U T c u Q p N s w h f 8 q Q I k x w 8 e D d p f u b i 7 5 f z O z a 7 T M m F o F U A A Y p D L v + 1 4 7 6 Y q l q M h V k L X 0 S y n 9 R n r s O s Y C W e 8 G u G Y J e M s j t n x o r t P O v n T U N M p m b O p K f m D 7 E Y v V h v s k f m e k z T O j z a g w m T j A 7 O N 3 g V n 6 T j 0 w Z g U A 0 w B 9 o z Z e 8 4 b p y Y v z s q B c W X 2 6 i O S S 1 Q T u u 8 y i e 9 P 7 g 8 k W B 9 d B 6 q o J g u g 1 V Z M / L E Q X O j h B d 8 K p j d X e x p / m 2 s 1 n C O 8 s P 4 2 / Q Q n T O K I 8 2 Z U F u K q t K 9 f m Z q d 4 X I 7 F w y H N Z t T g 2 x q c N 8 a Q u c B l j y b 6 C M b 3 t J M L R 1 p E 9 E o C W + p S G f Z h q q H 2 j Y t 4 F O c 5 s E 2 W S O T K h p i g F r 6 f z w q 8 S r l E 2 G q e 7 W B f 4 J 6 X P j 6 Q g N G A 9 8 E A j 8 Q a m u 6 p b m G Y m K A k 9 E 1 2 8 u s G / e R i G Y I c 6 K V G F i K y q 3 e 9 m B D c 7 c 9 K B x b J + c P J l U G S d 1 U y x X X 9 A o N 6 Z t H k 8 Z r f T H B 9 V N W Z T 7 P u W R m C b q Z s 6 j F Z a b t l h l x y X C p u X N D Z h O Y o z 4 d X L 1 K b V i G 0 p 2 3 c r 7 j g a b e p B H K 0 k B S o L o b Y H S C e 5 N M d Y 0 7 V 3 r P 6 j S l Y M 7 C H Z / j x S O u w F S y X c Y 5 I c / U Y h t X B p Y + Y Q E q m o + 3 D K 9 y 2 6 0 S 1 G c F b o L T T J s J n 3 j Y S U O E + Q + F d 5 + h b N 4 n t S 2 H L x Q s E z g 1 j e B A 6 2 C t 9 z O N F d h p U L X H d R 1 Z r l v 0 o e K p V f u e K D 8 h H n 8 1 P P Z Q K L 8 N 6 p 8 D 3 / A C e B z z / y j K / z F c / 2 w k / 9 3 Y v Y T W S / i 8 h M h L G P w R 1 F 2 N s 7 8 X W f 8 0 L P 0 Y f H 4 G Z H 4 m T M 4 3 Y D o j M 2 y g d y 2 O U a M j H Q / 5 / 7 w Y V v b / k K I 5 3 a G 5 n t / 6 t 8 u v f v 3 V r 7 / 6 1 f b r e i N X d d v u z t v / A V B L A Q I t A B Q A A g A I A A 1 s b F J d Q L a a p g A A A P g A A A A S A A A A A A A A A A A A A A A A A A A A A A B D b 2 5 m a W c v U G F j a 2 F n Z S 5 4 b W x Q S w E C L Q A U A A I A C A A N b G x S D 8 r p q 6 Q A A A D p A A A A E w A A A A A A A A A A A A A A A A D y A A A A W 0 N v b n R l b n R f V H l w Z X N d L n h t b F B L A Q I t A B Q A A g A I A A 1 s b F K d G O z L / Q U A A I 0 W A A A T A A A A A A A A A A A A A A A A A O M B A A B G b 3 J t d W x h c y 9 T Z W N 0 a W 9 u M S 5 t U E s F B g A A A A A D A A M A w g A A A C 0 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U 6 A A A A A A A A w z o 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Z 0 F B Q U F B Q U F B Q 3 E 0 b T N B N 3 l x d F F a O H V K Q X F 0 R H o w S E 0 x U n l Z V z V 6 W m 0 5 e W J T Q k d h V 3 h s S U d a e W I y M G d V b V Y y Y V d W M 1 p X U W d U V m x E S U h S b G J Y Q n N Z W F J s Y 3 k x e l p X e G x Z M 1 J s W k F B Q U F B Q U F B Q U F B Q U F D T z V L N H d S c 1 h F U n B W d T l Q O C t r O H h 3 R G t o b G J I Q m x j a U J S Z F d W e W F X V n p B Q U d x N G 0 z Q T d 5 c X R R W j h 1 S k F x d E R 6 M E h B Q U F B Q U E 9 P S I g L z 4 8 L 1 N 0 Y W J s Z U V u d H J p Z X M + P C 9 J d G V t P j x J d G V t P j x J d G V t T G 9 j Y X R p b 2 4 + P E l 0 Z W 1 U e X B l P k Z v c m 1 1 b G E 8 L 0 l 0 Z W 1 U e X B l P j x J d G V t U G F 0 a D 5 T Z W N 0 a W 9 u M S 9 S Z X Z p Z X d l Z C U y M E 1 Z Q y U y M H R l b X B s Y X R l c y 1 z Z W x l Y 3 R l Z 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D b 3 V u d C I g V m F s d W U 9 I m w w I i A v P j x F b n R y e S B U e X B l P S J G a W x s Z W R D b 2 1 w b G V 0 Z V J l c 3 V s d F R v V 2 9 y a 3 N o Z W V 0 I i B W Y W x 1 Z T 0 i b D E i I C 8 + P E V u d H J 5 I F R 5 c G U 9 I k Z p b G x F c n J v c k N v d W 5 0 I i B W Y W x 1 Z T 0 i b D A i I C 8 + P E V u d H J 5 I F R 5 c G U 9 I k Z p b G x F c n J v c k N v Z G U i I F Z h b H V l P S J z V W 5 r b m 9 3 b i I g L z 4 8 R W 5 0 c n k g V H l w Z T 0 i R m l s b E x h c 3 R V c G R h d G V k I i B W Y W x 1 Z T 0 i Z D I w M j E t M D M t M T J U M T A 6 M j M 6 M z Y u N D Y 2 N z g 3 O V o i I C 8 + P E V u d H J 5 I F R 5 c G U 9 I k Z p b G x D b 2 x 1 b W 5 O Y W 1 l c y I g V m F s d W U 9 I n N b J n F 1 b 3 Q 7 U 2 9 1 c m N l L k 5 h b W U m c X V v d D s s J n F 1 b 3 Q 7 U H J v a m V j d C B D b 2 R l I G F u Z C B O Y W 1 l I C Z x d W 9 0 O y w m c X V v d D t G d W 5 k a W 5 n I F N v d X J j Z S Z x d W 9 0 O y w m c X V v d D t T d G F y d C B E Y X R l I F x u Z G Q v b W 0 v e X l 5 e S Z x d W 9 0 O y w m c X V v d D t F b m Q g R G F 0 Z S B c b m R k L 2 1 t L 3 l 5 e X k m c X V v d D s s J n F 1 b 3 Q 7 U H J v a m V j d C B T d G F 0 d X M m c X V v d D s s J n F 1 b 3 Q 7 U H J v a m V j d C B D b G F z c 2 l m a W N h d G l v b i Z x d W 9 0 O y w m c X V v d D t T c G V u Z G l u Z y B z a W 5 j Z S B z d G F y d C B v Z i B w c m 9 q Z W N 0 J n F 1 b 3 Q 7 L C Z x d W 9 0 O 0 F w c H J v d m V k I E J 1 Z G d l d C B G W S A y M D I w L z I x J n F 1 b 3 Q 7 L C Z x d W 9 0 O 0 V z d G l t Y X R l I G 9 m I E F y c m V h c n M g Y X Q g Z W 5 k I G 9 m I H R o Z S B j d X J y Z W 5 0 I E Z Z I D I w M j A v M j E g K H Z h b H V l K S Z x d W 9 0 O y w m c X V v d D t D b 3 V u d G V y c G F y d C B G d W 5 k a W 5 n I H N p Z 2 5 l Z C B h Z 3 J l Z W 1 l b n R z I G 9 u b H k g K H Z h b H V l I G 5 l e H Q g R l k p J n F 1 b 3 Q 7 L C Z x d W 9 0 O 0 N h c 2 g g U m V x d W l y Z W Q g Z m 9 y I E N v b W 1 p d G 1 l b n R z I C h 2 Y W x 1 Z S B u Z X h 0 I E Z Z K S Z x d W 9 0 O y w m c X V v d D t B c n J l Y X J z I C s g Q W x s I E N v b n R y Y W N 0 d W F s I E N v b W 1 p d G 1 l b n R z I C h 2 Y W x 1 Z S B u Z X h 0 I E Z Z K S Z x d W 9 0 O y w m c X V v d D t G W T E g K E Z Z M j I t M j M p J n F 1 b 3 Q 7 L C Z x d W 9 0 O 0 Z Z M i A o R l k y M y 0 y N C k m c X V v d D s s J n F 1 b 3 Q 7 R l k z I C h G W T I 0 L T I 1 K S Z x d W 9 0 O y w m c X V v d D t G W T Q g K E Z Z M j U t M j Y p J n F 1 b 3 Q 7 L C Z x d W 9 0 O 0 9 1 d H N 0 Y W 5 k a W 5 n I E N v b W 1 p d G 1 l b n R z J n F 1 b 3 Q 7 L C Z x d W 9 0 O y h D Y W x j d W x h d G V k I F Z h b H V l K S Z x d W 9 0 O y w m c X V v d D t B c H B y b 3 Z l Z C B Q c m 9 q Z W N 0 I E N v c 3 R z I G J 5 I E R D I G F z I G l u Z G l j Y X R l Z C B p b i B 0 a G U g U E l Q J n F 1 b 3 Q 7 L C Z x d W 9 0 O 0 N v b W 1 l b n R z I G Z y b 2 0 g T U R B I C h J b X B v c n R h b n Q g a W 5 m b 3 J t Y X R p b 2 4 g b 3 I g Y X N z d W 1 w d G l v b n M g d 2 h l b i B w b 3 B 1 b G F 0 a W 5 n I H R o Z S B 0 Z W 1 w b G F 0 Z S k m c X V v d D s s J n F 1 b 3 Q 7 U E l N I F B y b 2 N l c 3 M g K E Z v d X I g R 2 F 0 Z X M p J n F 1 b 3 Q 7 L C Z x d W 9 0 O 1 N l b G V j d C B m b 3 I g Z m l y c 3 Q g Y 2 F s b C B v b i B y Z X N v d X J j Z X M / I C h Z L 0 4 p J n F 1 b 3 Q 7 X S I g L z 4 8 R W 5 0 c n k g V H l w Z T 0 i R m l s b E N v b H V t b l R 5 c G V z I i B W Y W x 1 Z T 0 i c 0 J n W U d D U W t H Q m d N R E F 3 T U R B d 0 1 E Q X d N R E F 3 T U d B Q V k 9 I i A v P j x F b n R y e S B U e X B l P S J B Z G R l Z F R v R G F 0 Y U 1 v Z G V s I i B W Y W x 1 Z T 0 i b D A i I C 8 + P E V u d H J 5 I F R 5 c G U 9 I k Z p b G x U Y X J n Z X R O Y W 1 l Q 3 V z d G 9 t a X p l Z C I g V m F s d W U 9 I m w x I i A v P j x F b n R y e S B U e X B l P S J R d W V y e U l E I i B W Y W x 1 Z T 0 i c 2 F i N D N k N 2 F k L T A 2 N D c t N G Z m Z i 0 5 M z k w L T E y Z D g z M D E 1 Y j B k M C I g L z 4 8 R W 5 0 c n k g V H l w Z T 0 i U m V s Y X R p b 2 5 z a G l w S W 5 m b 0 N v b n R h a W 5 l c i I g V m F s d W U 9 I n N 7 J n F 1 b 3 Q 7 Y 2 9 s d W 1 u Q 2 9 1 b n Q m c X V v d D s 6 M j M s J n F 1 b 3 Q 7 a 2 V 5 Q 2 9 s d W 1 u T m F t Z X M m c X V v d D s 6 W 1 0 s J n F 1 b 3 Q 7 c X V l c n l S Z W x h d G l v b n N o a X B z J n F 1 b 3 Q 7 O l t d L C Z x d W 9 0 O 2 N v b H V t b k l k Z W 5 0 a X R p Z X M m c X V v d D s 6 W y Z x d W 9 0 O 1 N l Y 3 R p b 2 4 x L 1 J l d m l l d 2 V k I E 1 Z Q y B 0 Z W 1 w b G F 0 Z X M t c 2 V s Z W N 0 Z W Q v Q 2 h h b m d l Z C B U e X B l L n t T b 3 V y Y 2 U u T m F t Z S w w f S Z x d W 9 0 O y w m c X V v d D t T Z W N 0 a W 9 u M S 9 S Z X Z p Z X d l Z C B N W U M g d G V t c G x h d G V z L X N l b G V j d G V k L 0 N o Y W 5 n Z W Q g V H l w Z S 5 7 U H J v a m V j d C B D b 2 R l I G F u Z C B O Y W 1 l I C w x f S Z x d W 9 0 O y w m c X V v d D t T Z W N 0 a W 9 u M S 9 S Z X Z p Z X d l Z C B N W U M g d G V t c G x h d G V z L X N l b G V j d G V k L 0 N o Y W 5 n Z W Q g V H l w Z S 5 7 R n V u Z G l u Z y B T b 3 V y Y 2 U s M n 0 m c X V v d D s s J n F 1 b 3 Q 7 U 2 V j d G l v b j E v U m V 2 a W V 3 Z W Q g T V l D I H R l b X B s Y X R l c y 1 z Z W x l Y 3 R l Z C 9 D a G F u Z 2 V k I F R 5 c G U u e 1 N 0 Y X J 0 I E R h d G U g X G 5 k Z C 9 t b S 9 5 e X l 5 L D N 9 J n F 1 b 3 Q 7 L C Z x d W 9 0 O 1 N l Y 3 R p b 2 4 x L 1 J l d m l l d 2 V k I E 1 Z Q y B 0 Z W 1 w b G F 0 Z X M t c 2 V s Z W N 0 Z W Q v Q 2 h h b m d l Z C B U e X B l L n t F b m Q g R G F 0 Z S B c b m R k L 2 1 t L 3 l 5 e X k s N H 0 m c X V v d D s s J n F 1 b 3 Q 7 U 2 V j d G l v b j E v U m V 2 a W V 3 Z W Q g T V l D I H R l b X B s Y X R l c y 1 z Z W x l Y 3 R l Z C 9 D a G F u Z 2 V k I F R 5 c G U u e 1 B y b 2 p l Y 3 Q g U 3 R h d H V z L D V 9 J n F 1 b 3 Q 7 L C Z x d W 9 0 O 1 N l Y 3 R p b 2 4 x L 1 J l d m l l d 2 V k I E 1 Z Q y B 0 Z W 1 w b G F 0 Z X M t c 2 V s Z W N 0 Z W Q v Q 2 h h b m d l Z C B U e X B l L n t Q c m 9 q Z W N 0 I E N s Y X N z a W Z p Y 2 F 0 a W 9 u L D Z 9 J n F 1 b 3 Q 7 L C Z x d W 9 0 O 1 N l Y 3 R p b 2 4 x L 1 J l d m l l d 2 V k I E 1 Z Q y B 0 Z W 1 w b G F 0 Z X M t c 2 V s Z W N 0 Z W Q v Q 2 h h b m d l Z C B U e X B l L n t T c G V u Z G l u Z y B z a W 5 j Z S B z d G F y d C B v Z i B w c m 9 q Z W N 0 L D d 9 J n F 1 b 3 Q 7 L C Z x d W 9 0 O 1 N l Y 3 R p b 2 4 x L 1 J l d m l l d 2 V k I E 1 Z Q y B 0 Z W 1 w b G F 0 Z X M t c 2 V s Z W N 0 Z W Q v Q 2 h h b m d l Z C B U e X B l L n t B c H B y b 3 Z l Z C B C d W R n Z X Q g R l k g M j A y M C 8 y M S w 4 f S Z x d W 9 0 O y w m c X V v d D t T Z W N 0 a W 9 u M S 9 S Z X Z p Z X d l Z C B N W U M g d G V t c G x h d G V z L X N l b G V j d G V k L 0 N o Y W 5 n Z W Q g V H l w Z S 5 7 R X N 0 a W 1 h d G U g b 2 Y g Q X J y Z W F y c y B h d C B l b m Q g b 2 Y g d G h l I G N 1 c n J l b n Q g R l k g M j A y M C 8 y M S A o d m F s d W U p L D l 9 J n F 1 b 3 Q 7 L C Z x d W 9 0 O 1 N l Y 3 R p b 2 4 x L 1 J l d m l l d 2 V k I E 1 Z Q y B 0 Z W 1 w b G F 0 Z X M t c 2 V s Z W N 0 Z W Q v Q 2 h h b m d l Z C B U e X B l L n t D b 3 V u d G V y c G F y d C B G d W 5 k a W 5 n I H N p Z 2 5 l Z C B h Z 3 J l Z W 1 l b n R z I G 9 u b H k g K H Z h b H V l I G 5 l e H Q g R l k p L D E w f S Z x d W 9 0 O y w m c X V v d D t T Z W N 0 a W 9 u M S 9 S Z X Z p Z X d l Z C B N W U M g d G V t c G x h d G V z L X N l b G V j d G V k L 0 N o Y W 5 n Z W Q g V H l w Z S 5 7 Q 2 F z a C B S Z X F 1 a X J l Z C B m b 3 I g Q 2 9 t b W l 0 b W V u d H M g K H Z h b H V l I G 5 l e H Q g R l k p L D E x f S Z x d W 9 0 O y w m c X V v d D t T Z W N 0 a W 9 u M S 9 S Z X Z p Z X d l Z C B N W U M g d G V t c G x h d G V z L X N l b G V j d G V k L 0 N o Y W 5 n Z W Q g V H l w Z S 5 7 Q X J y Z W F y c y A r I E F s b C B D b 2 5 0 c m F j d H V h b C B D b 2 1 t a X R t Z W 5 0 c y A o d m F s d W U g b m V 4 d C B G W S k s M T J 9 J n F 1 b 3 Q 7 L C Z x d W 9 0 O 1 N l Y 3 R p b 2 4 x L 1 J l d m l l d 2 V k I E 1 Z Q y B 0 Z W 1 w b G F 0 Z X M t c 2 V s Z W N 0 Z W Q v Q 2 h h b m d l Z C B U e X B l L n t G W T E g K E Z Z M j I t M j M p L D E z f S Z x d W 9 0 O y w m c X V v d D t T Z W N 0 a W 9 u M S 9 S Z X Z p Z X d l Z C B N W U M g d G V t c G x h d G V z L X N l b G V j d G V k L 0 N o Y W 5 n Z W Q g V H l w Z S 5 7 R l k y I C h G W T I z L T I 0 K S w x N H 0 m c X V v d D s s J n F 1 b 3 Q 7 U 2 V j d G l v b j E v U m V 2 a W V 3 Z W Q g T V l D I H R l b X B s Y X R l c y 1 z Z W x l Y 3 R l Z C 9 D a G F u Z 2 V k I F R 5 c G U u e 0 Z Z M y A o R l k y N C 0 y N S k s M T V 9 J n F 1 b 3 Q 7 L C Z x d W 9 0 O 1 N l Y 3 R p b 2 4 x L 1 J l d m l l d 2 V k I E 1 Z Q y B 0 Z W 1 w b G F 0 Z X M t c 2 V s Z W N 0 Z W Q v Q 2 h h b m d l Z C B U e X B l L n t G W T Q g K E Z Z M j U t M j Y p L D E 2 f S Z x d W 9 0 O y w m c X V v d D t T Z W N 0 a W 9 u M S 9 S Z X Z p Z X d l Z C B N W U M g d G V t c G x h d G V z L X N l b G V j d G V k L 0 N o Y W 5 n Z W Q g V H l w Z S 5 7 T 3 V 0 c 3 R h b m R p b m c g Q 2 9 t b W l 0 b W V u d H M s M T d 9 J n F 1 b 3 Q 7 L C Z x d W 9 0 O 1 N l Y 3 R p b 2 4 x L 1 J l d m l l d 2 V k I E 1 Z Q y B 0 Z W 1 w b G F 0 Z X M t c 2 V s Z W N 0 Z W Q v Q 2 h h b m d l Z C B U e X B l L n s o Q 2 F s Y 3 V s Y X R l Z C B W Y W x 1 Z S k s M T h 9 J n F 1 b 3 Q 7 L C Z x d W 9 0 O 1 N l Y 3 R p b 2 4 x L 1 J l d m l l d 2 V k I E 1 Z Q y B 0 Z W 1 w b G F 0 Z X M t c 2 V s Z W N 0 Z W Q v Q 2 h h b m d l Z C B U e X B l L n t B c H B y b 3 Z l Z C B Q c m 9 q Z W N 0 I E N v c 3 R z I G J 5 I E R D I G F z I G l u Z G l j Y X R l Z C B p b i B 0 a G U g U E l Q L D E 5 f S Z x d W 9 0 O y w m c X V v d D t T Z W N 0 a W 9 u M S 9 S Z X Z p Z X d l Z C B N W U M g d G V t c G x h d G V z L X N l b G V j d G V k L 0 N o Y W 5 n Z W Q g V H l w Z S 5 7 Q 2 9 t b W V u d H M g Z n J v b S B N R E E g K E l t c G 9 y d G F u d C B p b m Z v c m 1 h d G l v b i B v c i B h c 3 N 1 b X B 0 a W 9 u c y B 3 a G V u I H B v c H V s Y X R p b m c g d G h l I H R l b X B s Y X R l K S w y M H 0 m c X V v d D s s J n F 1 b 3 Q 7 U 2 V j d G l v b j E v U m V 2 a W V 3 Z W Q g T V l D I H R l b X B s Y X R l c y 1 z Z W x l Y 3 R l Z C 9 D a G F u Z 2 V k I F R 5 c G U u e 1 B J T S B Q c m 9 j Z X N z I C h G b 3 V y I E d h d G V z K S w y M X 0 m c X V v d D s s J n F 1 b 3 Q 7 U 2 V j d G l v b j E v U m V 2 a W V 3 Z W Q g T V l D I H R l b X B s Y X R l c y 1 z Z W x l Y 3 R l Z C 9 D a G F u Z 2 V k I F R 5 c G U u e 1 N l b G V j d C B m b 3 I g Z m l y c 3 Q g Y 2 F s b C B v b i B y Z X N v d X J j Z X M / I C h Z L 0 4 p L D I y f S Z x d W 9 0 O 1 0 s J n F 1 b 3 Q 7 Q 2 9 s d W 1 u Q 2 9 1 b n Q m c X V v d D s 6 M j M s J n F 1 b 3 Q 7 S 2 V 5 Q 2 9 s d W 1 u T m F t Z X M m c X V v d D s 6 W 1 0 s J n F 1 b 3 Q 7 Q 2 9 s d W 1 u S W R l b n R p d G l l c y Z x d W 9 0 O z p b J n F 1 b 3 Q 7 U 2 V j d G l v b j E v U m V 2 a W V 3 Z W Q g T V l D I H R l b X B s Y X R l c y 1 z Z W x l Y 3 R l Z C 9 D a G F u Z 2 V k I F R 5 c G U u e 1 N v d X J j Z S 5 O Y W 1 l L D B 9 J n F 1 b 3 Q 7 L C Z x d W 9 0 O 1 N l Y 3 R p b 2 4 x L 1 J l d m l l d 2 V k I E 1 Z Q y B 0 Z W 1 w b G F 0 Z X M t c 2 V s Z W N 0 Z W Q v Q 2 h h b m d l Z C B U e X B l L n t Q c m 9 q Z W N 0 I E N v Z G U g Y W 5 k I E 5 h b W U g L D F 9 J n F 1 b 3 Q 7 L C Z x d W 9 0 O 1 N l Y 3 R p b 2 4 x L 1 J l d m l l d 2 V k I E 1 Z Q y B 0 Z W 1 w b G F 0 Z X M t c 2 V s Z W N 0 Z W Q v Q 2 h h b m d l Z C B U e X B l L n t G d W 5 k a W 5 n I F N v d X J j Z S w y f S Z x d W 9 0 O y w m c X V v d D t T Z W N 0 a W 9 u M S 9 S Z X Z p Z X d l Z C B N W U M g d G V t c G x h d G V z L X N l b G V j d G V k L 0 N o Y W 5 n Z W Q g V H l w Z S 5 7 U 3 R h c n Q g R G F 0 Z S B c b m R k L 2 1 t L 3 l 5 e X k s M 3 0 m c X V v d D s s J n F 1 b 3 Q 7 U 2 V j d G l v b j E v U m V 2 a W V 3 Z W Q g T V l D I H R l b X B s Y X R l c y 1 z Z W x l Y 3 R l Z C 9 D a G F u Z 2 V k I F R 5 c G U u e 0 V u Z C B E Y X R l I F x u Z G Q v b W 0 v e X l 5 e S w 0 f S Z x d W 9 0 O y w m c X V v d D t T Z W N 0 a W 9 u M S 9 S Z X Z p Z X d l Z C B N W U M g d G V t c G x h d G V z L X N l b G V j d G V k L 0 N o Y W 5 n Z W Q g V H l w Z S 5 7 U H J v a m V j d C B T d G F 0 d X M s N X 0 m c X V v d D s s J n F 1 b 3 Q 7 U 2 V j d G l v b j E v U m V 2 a W V 3 Z W Q g T V l D I H R l b X B s Y X R l c y 1 z Z W x l Y 3 R l Z C 9 D a G F u Z 2 V k I F R 5 c G U u e 1 B y b 2 p l Y 3 Q g Q 2 x h c 3 N p Z m l j Y X R p b 2 4 s N n 0 m c X V v d D s s J n F 1 b 3 Q 7 U 2 V j d G l v b j E v U m V 2 a W V 3 Z W Q g T V l D I H R l b X B s Y X R l c y 1 z Z W x l Y 3 R l Z C 9 D a G F u Z 2 V k I F R 5 c G U u e 1 N w Z W 5 k a W 5 n I H N p b m N l I H N 0 Y X J 0 I G 9 m I H B y b 2 p l Y 3 Q s N 3 0 m c X V v d D s s J n F 1 b 3 Q 7 U 2 V j d G l v b j E v U m V 2 a W V 3 Z W Q g T V l D I H R l b X B s Y X R l c y 1 z Z W x l Y 3 R l Z C 9 D a G F u Z 2 V k I F R 5 c G U u e 0 F w c H J v d m V k I E J 1 Z G d l d C B G W S A y M D I w L z I x L D h 9 J n F 1 b 3 Q 7 L C Z x d W 9 0 O 1 N l Y 3 R p b 2 4 x L 1 J l d m l l d 2 V k I E 1 Z Q y B 0 Z W 1 w b G F 0 Z X M t c 2 V s Z W N 0 Z W Q v Q 2 h h b m d l Z C B U e X B l L n t F c 3 R p b W F 0 Z S B v Z i B B c n J l Y X J z I G F 0 I G V u Z C B v Z i B 0 a G U g Y 3 V y c m V u d C B G W S A y M D I w L z I x I C h 2 Y W x 1 Z S k s O X 0 m c X V v d D s s J n F 1 b 3 Q 7 U 2 V j d G l v b j E v U m V 2 a W V 3 Z W Q g T V l D I H R l b X B s Y X R l c y 1 z Z W x l Y 3 R l Z C 9 D a G F u Z 2 V k I F R 5 c G U u e 0 N v d W 5 0 Z X J w Y X J 0 I E Z 1 b m R p b m c g c 2 l n b m V k I G F n c m V l b W V u d H M g b 2 5 s e S A o d m F s d W U g b m V 4 d C B G W S k s M T B 9 J n F 1 b 3 Q 7 L C Z x d W 9 0 O 1 N l Y 3 R p b 2 4 x L 1 J l d m l l d 2 V k I E 1 Z Q y B 0 Z W 1 w b G F 0 Z X M t c 2 V s Z W N 0 Z W Q v Q 2 h h b m d l Z C B U e X B l L n t D Y X N o I F J l c X V p c m V k I G Z v c i B D b 2 1 t a X R t Z W 5 0 c y A o d m F s d W U g b m V 4 d C B G W S k s M T F 9 J n F 1 b 3 Q 7 L C Z x d W 9 0 O 1 N l Y 3 R p b 2 4 x L 1 J l d m l l d 2 V k I E 1 Z Q y B 0 Z W 1 w b G F 0 Z X M t c 2 V s Z W N 0 Z W Q v Q 2 h h b m d l Z C B U e X B l L n t B c n J l Y X J z I C s g Q W x s I E N v b n R y Y W N 0 d W F s I E N v b W 1 p d G 1 l b n R z I C h 2 Y W x 1 Z S B u Z X h 0 I E Z Z K S w x M n 0 m c X V v d D s s J n F 1 b 3 Q 7 U 2 V j d G l v b j E v U m V 2 a W V 3 Z W Q g T V l D I H R l b X B s Y X R l c y 1 z Z W x l Y 3 R l Z C 9 D a G F u Z 2 V k I F R 5 c G U u e 0 Z Z M S A o R l k y M i 0 y M y k s M T N 9 J n F 1 b 3 Q 7 L C Z x d W 9 0 O 1 N l Y 3 R p b 2 4 x L 1 J l d m l l d 2 V k I E 1 Z Q y B 0 Z W 1 w b G F 0 Z X M t c 2 V s Z W N 0 Z W Q v Q 2 h h b m d l Z C B U e X B l L n t G W T I g K E Z Z M j M t M j Q p L D E 0 f S Z x d W 9 0 O y w m c X V v d D t T Z W N 0 a W 9 u M S 9 S Z X Z p Z X d l Z C B N W U M g d G V t c G x h d G V z L X N l b G V j d G V k L 0 N o Y W 5 n Z W Q g V H l w Z S 5 7 R l k z I C h G W T I 0 L T I 1 K S w x N X 0 m c X V v d D s s J n F 1 b 3 Q 7 U 2 V j d G l v b j E v U m V 2 a W V 3 Z W Q g T V l D I H R l b X B s Y X R l c y 1 z Z W x l Y 3 R l Z C 9 D a G F u Z 2 V k I F R 5 c G U u e 0 Z Z N C A o R l k y N S 0 y N i k s M T Z 9 J n F 1 b 3 Q 7 L C Z x d W 9 0 O 1 N l Y 3 R p b 2 4 x L 1 J l d m l l d 2 V k I E 1 Z Q y B 0 Z W 1 w b G F 0 Z X M t c 2 V s Z W N 0 Z W Q v Q 2 h h b m d l Z C B U e X B l L n t P d X R z d G F u Z G l u Z y B D b 2 1 t a X R t Z W 5 0 c y w x N 3 0 m c X V v d D s s J n F 1 b 3 Q 7 U 2 V j d G l v b j E v U m V 2 a W V 3 Z W Q g T V l D I H R l b X B s Y X R l c y 1 z Z W x l Y 3 R l Z C 9 D a G F u Z 2 V k I F R 5 c G U u e y h D Y W x j d W x h d G V k I F Z h b H V l K S w x O H 0 m c X V v d D s s J n F 1 b 3 Q 7 U 2 V j d G l v b j E v U m V 2 a W V 3 Z W Q g T V l D I H R l b X B s Y X R l c y 1 z Z W x l Y 3 R l Z C 9 D a G F u Z 2 V k I F R 5 c G U u e 0 F w c H J v d m V k I F B y b 2 p l Y 3 Q g Q 2 9 z d H M g Y n k g R E M g Y X M g a W 5 k a W N h d G V k I G l u I H R o Z S B Q S V A s M T l 9 J n F 1 b 3 Q 7 L C Z x d W 9 0 O 1 N l Y 3 R p b 2 4 x L 1 J l d m l l d 2 V k I E 1 Z Q y B 0 Z W 1 w b G F 0 Z X M t c 2 V s Z W N 0 Z W Q v Q 2 h h b m d l Z C B U e X B l L n t D b 2 1 t Z W 5 0 c y B m c m 9 t I E 1 E Q S A o S W 1 w b 3 J 0 Y W 5 0 I G l u Z m 9 y b W F 0 a W 9 u I G 9 y I G F z c 3 V t c H R p b 2 5 z I H d o Z W 4 g c G 9 w d W x h d G l u Z y B 0 a G U g d G V t c G x h d G U p L D I w f S Z x d W 9 0 O y w m c X V v d D t T Z W N 0 a W 9 u M S 9 S Z X Z p Z X d l Z C B N W U M g d G V t c G x h d G V z L X N l b G V j d G V k L 0 N o Y W 5 n Z W Q g V H l w Z S 5 7 U E l N I F B y b 2 N l c 3 M g K E Z v d X I g R 2 F 0 Z X M p L D I x f S Z x d W 9 0 O y w m c X V v d D t T Z W N 0 a W 9 u M S 9 S Z X Z p Z X d l Z C B N W U M g d G V t c G x h d G V z L X N l b G V j d G V k L 0 N o Y W 5 n Z W Q g V H l w Z S 5 7 U 2 V s Z W N 0 I G Z v c i B m a X J z d C B j Y W x s I G 9 u I H J l c 2 9 1 c m N l c z 8 g K F k v T i k s M j J 9 J n F 1 b 3 Q 7 X S w m c X V v d D t S Z W x h d G l v b n N o a X B J b m Z v J n F 1 b 3 Q 7 O l t d f S I g L z 4 8 R W 5 0 c n k g V H l w Z T 0 i R m l s b F N 0 Y X R 1 c y I g V m F s d W U 9 I n N X Y W l 0 a W 5 n R m 9 y R X h j Z W x S Z W Z y Z X N o I i A v P j x F b n R y e S B U e X B l P S J G a W x s V G F y Z 2 V 0 I i B W Y W x 1 Z T 0 i c 0 F n Z 3 J l Z 2 F 0 Z S I g L z 4 8 L 1 N 0 Y W J s Z U V u d H J p Z X M + P C 9 J d G V t P j x J d G V t P j x J d G V t T G 9 j Y X R p b 2 4 + P E l 0 Z W 1 U e X B l P k Z v c m 1 1 b G E 8 L 0 l 0 Z W 1 U e X B l P j x J d G V t U G F 0 a D 5 T Z W N 0 a W 9 u M S 9 S Z X Z p Z X d l Z C U y M E 1 Z Q y U y M H R l b X B s Y X R l c y 1 z Z W x l Y 3 R l Z C 9 T b 3 V y Y 2 U 8 L 0 l 0 Z W 1 Q Y X R o P j w v S X R l b U x v Y 2 F 0 a W 9 u P j x T d G F i b G V F b n R y a W V z I C 8 + P C 9 J d G V t P j x J d G V t P j x J d G V t T G 9 j Y X R p b 2 4 + P E l 0 Z W 1 U e X B l P k Z v c m 1 1 b G E 8 L 0 l 0 Z W 1 U e X B l P j x J d G V t U G F 0 a D 5 T Z W N 0 a W 9 u M S 9 Q Y X J h b W V 0 Z X I x P C 9 J d G V t U G F 0 a D 4 8 L 0 l 0 Z W 1 M b 2 N h d G l v b j 4 8 U 3 R h Y m x l R W 5 0 c m l l c z 4 8 R W 5 0 c n k g V H l w Z T 0 i S X N Q c m l 2 Y X R l I i B W Y W x 1 Z T 0 i b D A i I C 8 + P E V u d H J 5 I F R 5 c G U 9 I k x v Y W R U b 1 J l c G 9 y d E R p c 2 F i b G V k I i B W Y W x 1 Z T 0 i b D E i I C 8 + P E V u d H J 5 I F R 5 c G U 9 I l F 1 Z X J 5 R 3 J v d X B J R C I g V m F s d W U 9 I n M z M G F l Z T Q 4 Z S 1 j N T Q 2 L T Q 2 Y z Q t O T U 2 Z S 1 m N G Z m M 2 U 5 M 2 N j N z 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F k Z G V k V G 9 E Y X R h T W 9 k Z W w i I F Z h b H V l P S J s M C I g L z 4 8 R W 5 0 c n k g V H l w Z T 0 i R m l s b E V y c m 9 y Q 2 9 k Z S I g V m F s d W U 9 I n N V b m t u b 3 d u I i A v P j x F b n R y e S B U e X B l P S J G a W x s T G F z d F V w Z G F 0 Z W Q i I F Z h b H V l P S J k M j A y M S 0 w M y 0 x M F Q x M z o z M z o 0 N C 4 0 N D g 0 M D Q 5 W i I g L z 4 8 R W 5 0 c n k g V H l w Z T 0 i R m l s b F N 0 Y X R 1 c y I g V m F s d W U 9 I n N D b 2 1 w b G V 0 Z S I g L z 4 8 L 1 N 0 Y W J s Z U V u d H J p Z X M + P C 9 J d G V t P j x J d G V t P j x J d G V t T G 9 j Y X R p b 2 4 + P E l 0 Z W 1 U e X B l P k Z v c m 1 1 b G E 8 L 0 l 0 Z W 1 U e X B l P j x J d G V t U G F 0 a D 5 T Z W N 0 a W 9 u M S 9 T Y W 1 w b G U l M j B G a W x l 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S 0 w M y 0 x M F Q x M z o z M z o 0 N C 4 0 N T M 0 M D g x W i I g L z 4 8 R W 5 0 c n k g V H l w Z T 0 i R m l s b E V y c m 9 y Q 2 9 k Z S I g V m F s d W U 9 I n N V b m t u b 3 d u I i A v P j x F b n R y e S B U e X B l P S J B Z G R l Z F R v R G F 0 Y U 1 v Z G V s I i B W Y W x 1 Z T 0 i b D A i I C 8 + P E V u d H J 5 I F R 5 c G U 9 I k x v Y W R U b 1 J l c G 9 y d E R p c 2 F i b G V k I i B W Y W x 1 Z T 0 i b D E i I C 8 + P E V u d H J 5 I F R 5 c G U 9 I l F 1 Z X J 5 R 3 J v d X B J R C I g V m F s d W U 9 I n M z M G F l Z T Q 4 Z S 1 j N T Q 2 L T Q 2 Y z Q t O T U 2 Z S 1 m N G Z m M 2 U 5 M 2 N j N z 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C 9 T d G F i b G V F b n R y a W V z P j w v S X R l b T 4 8 S X R l b T 4 8 S X R l b U x v Y 2 F 0 a W 9 u P j x J d G V t V H l w Z T 5 G b 3 J t d W x h P C 9 J d G V t V H l w Z T 4 8 S X R l b V B h d G g + U 2 V j d G l v b j E v U 2 F t c G x l J T I w R m l s Z S 9 T b 3 V y Y 2 U 8 L 0 l 0 Z W 1 Q Y X R o P j w v S X R l b U x v Y 2 F 0 a W 9 u P j x T d G F i b G V F b n R y a W V z I C 8 + P C 9 J d G V t P j x J d G V t P j x J d G V t T G 9 j Y X R p b 2 4 + P E l 0 Z W 1 U e X B l P k Z v c m 1 1 b G E 8 L 0 l 0 Z W 1 U e X B l P j x J d G V t U G F 0 a D 5 T Z W N 0 a W 9 u M S 9 T Y W 1 w b G U l M j B G a W x l L 0 5 h d m l n Y X R p b 2 4 x P C 9 J d G V t U G F 0 a D 4 8 L 0 l 0 Z W 1 M b 2 N h d G l v b j 4 8 U 3 R h Y m x l R W 5 0 c m l l c y A v P j w v S X R l b T 4 8 S X R l b T 4 8 S X R l b U x v Y 2 F 0 a W 9 u P j x J d G V t V H l w Z T 5 G b 3 J t d W x h P C 9 J d G V t V H l w Z T 4 8 S X R l b V B h d G g + U 2 V j d G l v b j E v V H J h b n N m b 3 J t J T I w U 2 F t c G x l J T I w R m l s Z T w v S X R l b V B h d G g + P C 9 J d G V t T G 9 j Y X R p b 2 4 + P F N 0 Y W J s Z U V u d H J p Z X M + P E V u d H J 5 I F R 5 c G U 9 I k l z U H J p d m F 0 Z S I g V m F s d W U 9 I m w w I i A v P j x F b n R y e S B U e X B l P S J M b 2 F k V G 9 S Z X B v c n R E a X N h Y m x l Z C I g V m F s d W U 9 I m w x I i A v P j x F b n R y e S B U e X B l P S J R d W V y e U d y b 3 V w S U Q i I F Z h b H V l P S J z Y z A 2 Z G U y Y W E t M m F l Z i 0 0 M W F k L T l m M m U t M j Q w Y W F k M G Y z Z D A 3 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S I g L z 4 8 R W 5 0 c n k g V H l w Z T 0 i R m l s b G V k Q 2 9 t c G x l d G V S Z X N 1 b H R U b 1 d v c m t z a G V l d C I g V m F s d W U 9 I m w w I i A v P j x F b n R y e S B U e X B l P S J B Z G R l Z F R v R G F 0 Y U 1 v Z G V s I i B W Y W x 1 Z T 0 i b D A i I C 8 + P E V u d H J 5 I F R 5 c G U 9 I k Z p b G x F c n J v c k N v Z G U i I F Z h b H V l P S J z V W 5 r b m 9 3 b i I g L z 4 8 R W 5 0 c n k g V H l w Z T 0 i R m l s b E x h c 3 R V c G R h d G V k I i B W Y W x 1 Z T 0 i Z D I w M j E t M D M t M T B U M T M 6 M z M 6 N D Q u N D U x N D I 3 N 1 o i I C 8 + P E V u d H J 5 I F R 5 c G U 9 I k Z p b G x T d G F 0 d X M i I F Z h b H V l P S J z Q 2 9 t c G x l d G U i I C 8 + P C 9 T d G F i b G V F b n R y a W V z P j w v S X R l b T 4 8 S X R l b T 4 8 S X R l b U x v Y 2 F 0 a W 9 u P j x J d G V t V H l w Z T 5 G b 3 J t d W x h P C 9 J d G V t V H l w Z T 4 8 S X R l b V B h d G g + U 2 V j d G l v b j E v V H J h b n N m b 3 J t J T I w U 2 F t c G x l J T I w R m l s Z S 9 T b 3 V y Y 2 U 8 L 0 l 0 Z W 1 Q Y X R o P j w v S X R l b U x v Y 2 F 0 a W 9 u P j x T d G F i b G V F b n R y a W V z I C 8 + P C 9 J d G V t P j x J d G V t P j x J d G V t T G 9 j Y X R p b 2 4 + P E l 0 Z W 1 U e X B l P k Z v c m 1 1 b G E 8 L 0 l 0 Z W 1 U e X B l P j x J d G V t U G F 0 a D 5 T Z W N 0 a W 9 u M S 9 U c m F u c 2 Z v c m 0 l M j B T Y W 1 w b G U l M j B G a W x l L 0 1 Z Q 1 N f V G F i b G U 8 L 0 l 0 Z W 1 Q Y X R o P j w v S X R l b U x v Y 2 F 0 a W 9 u P j x T d G F i b G V F b n R y a W V z I C 8 + P C 9 J d G V t P j x J d G V t P j x J d G V t T G 9 j Y X R p b 2 4 + P E l 0 Z W 1 U e X B l P k Z v c m 1 1 b G E 8 L 0 l 0 Z W 1 U e X B l P j x J d G V t U G F 0 a D 5 T Z W N 0 a W 9 u M S 9 U c m F u c 2 Z v c m 0 l M j B G a W x l P C 9 J d G V t U G F 0 a D 4 8 L 0 l 0 Z W 1 M b 2 N h d G l v b j 4 8 U 3 R h Y m x l R W 5 0 c m l l c z 4 8 R W 5 0 c n k g V H l w Z T 0 i T G 9 h Z F R v U m V w b 3 J 0 R G l z Y W J s Z W Q i I F Z h b H V l P S J s M S I g L z 4 8 R W 5 0 c n k g V H l w Z T 0 i U X V l c n l H c m 9 1 c E l E I i B W Y W x 1 Z T 0 i c z M w Y W V l N D h l L W M 1 N D Y t N D Z j N C 0 5 N T Z l L W Y 0 Z m Y z Z T k z Y 2 M 3 M 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A z L T E w V D E z O j M z O j Q 0 L j Q 1 N T Q w N z N a I i A v P j x F b n R y e S B U e X B l P S J G a W x s U 3 R h d H V z I i B W Y W x 1 Z T 0 i c 0 N v b X B s Z X R l 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U m V 2 a W V 3 Z W Q l M j B N W U M l M j B 0 Z W 1 w b G F 0 Z X M t c 2 V s Z W N 0 Z W Q v R m l s d G V y Z W Q l M j B I a W R k Z W 4 l M j B G a W x l c z E 8 L 0 l 0 Z W 1 Q Y X R o P j w v S X R l b U x v Y 2 F 0 a W 9 u P j x T d G F i b G V F b n R y a W V z I C 8 + P C 9 J d G V t P j x J d G V t P j x J d G V t T G 9 j Y X R p b 2 4 + P E l 0 Z W 1 U e X B l P k Z v c m 1 1 b G E 8 L 0 l 0 Z W 1 U e X B l P j x J d G V t U G F 0 a D 5 T Z W N 0 a W 9 u M S 9 S Z X Z p Z X d l Z C U y M E 1 Z Q y U y M H R l b X B s Y X R l c y 1 z Z W x l Y 3 R l Z C 9 J b n Z v a 2 U l M j B D d X N 0 b 2 0 l M j B G d W 5 j d G l v b j E 8 L 0 l 0 Z W 1 Q Y X R o P j w v S X R l b U x v Y 2 F 0 a W 9 u P j x T d G F i b G V F b n R y a W V z I C 8 + P C 9 J d G V t P j x J d G V t P j x J d G V t T G 9 j Y X R p b 2 4 + P E l 0 Z W 1 U e X B l P k Z v c m 1 1 b G E 8 L 0 l 0 Z W 1 U e X B l P j x J d G V t U G F 0 a D 5 T Z W N 0 a W 9 u M S 9 S Z X Z p Z X d l Z C U y M E 1 Z Q y U y M H R l b X B s Y X R l c y 1 z Z W x l Y 3 R l Z C 9 S Z W 5 h b W V k J T I w Q 2 9 s d W 1 u c z E 8 L 0 l 0 Z W 1 Q Y X R o P j w v S X R l b U x v Y 2 F 0 a W 9 u P j x T d G F i b G V F b n R y a W V z I C 8 + P C 9 J d G V t P j x J d G V t P j x J d G V t T G 9 j Y X R p b 2 4 + P E l 0 Z W 1 U e X B l P k Z v c m 1 1 b G E 8 L 0 l 0 Z W 1 U e X B l P j x J d G V t U G F 0 a D 5 T Z W N 0 a W 9 u M S 9 S Z X Z p Z X d l Z C U y M E 1 Z Q y U y M H R l b X B s Y X R l c y 1 z Z W x l Y 3 R l Z C 9 S Z W 1 v d m V k J T I w T 3 R o Z X I l M j B D b 2 x 1 b W 5 z M T w v S X R l b V B h d G g + P C 9 J d G V t T G 9 j Y X R p b 2 4 + P F N 0 Y W J s Z U V u d H J p Z X M g L z 4 8 L 0 l 0 Z W 0 + P E l 0 Z W 0 + P E l 0 Z W 1 M b 2 N h d G l v b j 4 8 S X R l b V R 5 c G U + R m 9 y b X V s Y T w v S X R l b V R 5 c G U + P E l 0 Z W 1 Q Y X R o P l N l Y 3 R p b 2 4 x L 1 J l d m l l d 2 V k J T I w T V l D J T I w d G V t c G x h d G V z L X N l b G V j d G V k L 0 V 4 c G F u Z G V k J T I w V G F i b G U l M j B D b 2 x 1 b W 4 x P C 9 J d G V t U G F 0 a D 4 8 L 0 l 0 Z W 1 M b 2 N h d G l v b j 4 8 U 3 R h Y m x l R W 5 0 c m l l c y A v P j w v S X R l b T 4 8 S X R l b T 4 8 S X R l b U x v Y 2 F 0 a W 9 u P j x J d G V t V H l w Z T 5 G b 3 J t d W x h P C 9 J d G V t V H l w Z T 4 8 S X R l b V B h d G g + U 2 V j d G l v b j E v U m V 2 a W V 3 Z W Q l M j B N W U M l M j B 0 Z W 1 w b G F 0 Z X M t c 2 V s Z W N 0 Z W Q v Q 2 h h b m d l Z C U y M F R 5 c G U 8 L 0 l 0 Z W 1 Q Y X R o P j w v S X R l b U x v Y 2 F 0 a W 9 u P j x T d G F i b G V F b n R y a W V z I C 8 + P C 9 J d G V t P j x J d G V t P j x J d G V t T G 9 j Y X R p b 2 4 + P E l 0 Z W 1 U e X B l P k Z v c m 1 1 b G E 8 L 0 l 0 Z W 1 U e X B l P j x J d G V t U G F 0 a D 5 T Z W N 0 a W 9 u M S 9 S Z X Z p Z X d l Z C U y M E 1 Z Q y U y M H R l b X B s Y X R l c y 1 z Z W x l Y 3 R l Z C 9 G a W x 0 Z X J l Z C U y M F J v d 3 M 8 L 0 l 0 Z W 1 Q Y X R o P j w v S X R l b U x v Y 2 F 0 a W 9 u P j x T d G F i b G V F b n R y a W V z I C 8 + P C 9 J d G V t P j x J d G V t P j x J d G V t T G 9 j Y X R p b 2 4 + P E l 0 Z W 1 U e X B l P k Z v c m 1 1 b G E 8 L 0 l 0 Z W 1 U e X B l P j x J d G V t U G F 0 a D 5 T Z W N 0 a W 9 u M S 9 F c n J v c n M l M j B p b i U y M F J l d m l l d 2 V k J T I w T V l D J T I w d G V t c G x h d G V z L X N l b G V j d G V k 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F k Z G V k V G 9 E Y X R h T W 9 k Z W w i I F Z h b H V l P S J s M C I g L z 4 8 R W 5 0 c n k g V H l w Z T 0 i R m l s b E V y c m 9 y Q 2 9 k Z S I g V m F s d W U 9 I n N V b m t u b 3 d u I i A v P j x F b n R y e S B U e X B l P S J G a W x s T G F z d F V w Z G F 0 Z W Q i I F Z h b H V l P S J k M j A y M S 0 w M y 0 x M F Q x M z o z N T o w O C 4 z N j Q x N T Y y W i I g L z 4 8 R W 5 0 c n k g V H l w Z T 0 i R m l s b F N 0 Y X R 1 c y I g V m F s d W U 9 I n N D b 2 1 w b G V 0 Z S I g L z 4 8 R W 5 0 c n k g V H l w Z T 0 i T m F 2 a W d h d G l v b l N 0 Z X B O Y W 1 l I i B W Y W x 1 Z T 0 i c 0 5 h d m l n Y X R p b 2 4 i I C 8 + P C 9 T d G F i b G V F b n R y a W V z P j w v S X R l b T 4 8 S X R l b T 4 8 S X R l b U x v Y 2 F 0 a W 9 u P j x J d G V t V H l w Z T 5 G b 3 J t d W x h P C 9 J d G V t V H l w Z T 4 8 S X R l b V B h d G g + U 2 V j d G l v b j E v R X J y b 3 J z J T I w a W 4 l M j B S Z X Z p Z X d l Z C U y M E 1 Z Q y U y M H R l b X B s Y X R l c y 1 z Z W x l Y 3 R l Z C 9 T b 3 V y Y 2 U 8 L 0 l 0 Z W 1 Q Y X R o P j w v S X R l b U x v Y 2 F 0 a W 9 u P j x T d G F i b G V F b n R y a W V z I C 8 + P C 9 J d G V t P j x J d G V t P j x J d G V t T G 9 j Y X R p b 2 4 + P E l 0 Z W 1 U e X B l P k Z v c m 1 1 b G E 8 L 0 l 0 Z W 1 U e X B l P j x J d G V t U G F 0 a D 5 T Z W N 0 a W 9 u M S 9 F c n J v c n M l M j B p b i U y M F J l d m l l d 2 V k J T I w T V l D J T I w d G V t c G x h d G V z L X N l b G V j d G V k L 0 R l d G V j d G V k J T I w V H l w Z S U y M E 1 p c 2 1 h d G N o Z X M 8 L 0 l 0 Z W 1 Q Y X R o P j w v S X R l b U x v Y 2 F 0 a W 9 u P j x T d G F i b G V F b n R y a W V z I C 8 + P C 9 J d G V t P j x J d G V t P j x J d G V t T G 9 j Y X R p b 2 4 + P E l 0 Z W 1 U e X B l P k Z v c m 1 1 b G E 8 L 0 l 0 Z W 1 U e X B l P j x J d G V t U G F 0 a D 5 T Z W N 0 a W 9 u M S 9 F c n J v c n M l M j B p b i U y M F J l d m l l d 2 V k J T I w T V l D J T I w d G V t c G x h d G V z L X N l b G V j d G V k L 0 F k Z G V k J T I w S W 5 k Z X g 8 L 0 l 0 Z W 1 Q Y X R o P j w v S X R l b U x v Y 2 F 0 a W 9 u P j x T d G F i b G V F b n R y a W V z I C 8 + P C 9 J d G V t P j x J d G V t P j x J d G V t T G 9 j Y X R p b 2 4 + P E l 0 Z W 1 U e X B l P k Z v c m 1 1 b G E 8 L 0 l 0 Z W 1 U e X B l P j x J d G V t U G F 0 a D 5 T Z W N 0 a W 9 u M S 9 F c n J v c n M l M j B p b i U y M F J l d m l l d 2 V k J T I w T V l D J T I w d G V t c G x h d G V z L X N l b G V j d G V k L 0 t l c H Q l M j B F c n J v c n M 8 L 0 l 0 Z W 1 Q Y X R o P j w v S X R l b U x v Y 2 F 0 a W 9 u P j x T d G F i b G V F b n R y a W V z I C 8 + P C 9 J d G V t P j x J d G V t P j x J d G V t T G 9 j Y X R p b 2 4 + P E l 0 Z W 1 U e X B l P k Z v c m 1 1 b G E 8 L 0 l 0 Z W 1 U e X B l P j x J d G V t U G F 0 a D 5 T Z W N 0 a W 9 u M S 9 F c n J v c n M l M j B p b i U y M F J l d m l l d 2 V k J T I w T V l D J T I w d G V t c G x h d G V z L X N l b G V j d G V k L 1 J l b 3 J k Z X J l Z C U y M E N v b H V t b n M 8 L 0 l 0 Z W 1 Q Y X R o P j w v S X R l b U x v Y 2 F 0 a W 9 u P j x T d G F i b G V F b n R y a W V z I C 8 + P C 9 J d G V t P j x J d G V t P j x J d G V t T G 9 j Y X R p b 2 4 + P E l 0 Z W 1 U e X B l P k Z v c m 1 1 b G E 8 L 0 l 0 Z W 1 U e X B l P j x J d G V t U G F 0 a D 5 T Z W N 0 a W 9 u M S 9 F c n J v c n M l M j B p b i U y M F J l d m l l d 2 V k J T I w T V l D J T I w d G V t c G x h d G V z L X N l b G V j d G V k L 0 Z p b H R l c m V k J T I w U m 9 3 c z w v S X R l b V B h d G g + P C 9 J d G V t T G 9 j Y X R p b 2 4 + P F N 0 Y W J s Z U V u d H J p Z X M g L z 4 8 L 0 l 0 Z W 0 + P C 9 J d G V t c z 4 8 L 0 x v Y 2 F s U G F j a 2 F n Z U 1 l d G F k Y X R h R m l s Z T 4 W A A A A U E s F B g A A A A A A A A A A A A A A A A A A A A A A A N o A A A A B A A A A 0 I y d 3 w E V 0 R G M e g D A T 8 K X 6 w E A A A D 3 E Z d Y 3 9 3 w S I G j 1 e q Y T n e m A A A A A A I A A A A A A A N m A A D A A A A A E A A A A O T + I 8 G B B y T C H X G V 4 9 p s F W E A A A A A B I A A A K A A A A A Q A A A A L j s q 4 / V z i 1 W m 3 0 t 7 T 9 y d o 1 A A A A C m q / O K + M m c 7 V l 7 y V H i v J V j P o D E y 5 W N e T 5 b x x / + W 7 c T 7 q a q y H W f m l Q H r P G 1 P 1 E G 7 y S 7 U 6 / Y L c / w U Y p 6 M 5 r Z f b q Z S w f R l j w r D 0 Q T j D L J v V j y w x Q A A A C w 9 j d U Z 2 E R c g 0 R 3 C T J I H S m n v L 9 q g = = < / D a t a M a s h u p > 
</file>

<file path=customXml/itemProps1.xml><?xml version="1.0" encoding="utf-8"?>
<ds:datastoreItem xmlns:ds="http://schemas.openxmlformats.org/officeDocument/2006/customXml" ds:itemID="{47839DFE-01AA-4658-9356-67F4EC572856}">
  <ds:schemaRefs/>
</ds:datastoreItem>
</file>

<file path=customXml/itemProps2.xml><?xml version="1.0" encoding="utf-8"?>
<ds:datastoreItem xmlns:ds="http://schemas.openxmlformats.org/officeDocument/2006/customXml" ds:itemID="{9DFE075A-CDCF-462C-9200-4668FFE4D8C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MTEF 21-22</vt:lpstr>
      <vt:lpstr>MTEF 22-23</vt:lpstr>
      <vt:lpstr>Read Me </vt:lpstr>
      <vt:lpstr>MTEF Ceilings</vt:lpstr>
      <vt:lpstr>Aggregated Data - Connected</vt:lpstr>
      <vt:lpstr>MTEF Program</vt:lpstr>
      <vt:lpstr>Program Codes</vt:lpstr>
      <vt:lpstr>Aggregated Commitment Data</vt:lpstr>
      <vt:lpstr>Charts</vt:lpstr>
      <vt:lpstr>Table 3</vt:lpstr>
      <vt:lpstr>NEW TABLE</vt:lpstr>
      <vt:lpstr>Annex 2 Master List of Projects</vt:lpstr>
      <vt:lpstr>Annex 1 - Commitments</vt:lpstr>
      <vt:lpstr>Annex 3 New and Retooling</vt:lpstr>
      <vt:lpstr>Analysis - Votes</vt:lpstr>
      <vt:lpstr>Analysis - Variances</vt:lpstr>
      <vt:lpstr>Analysis - Projects</vt:lpstr>
      <vt:lpstr>Analysis - Votes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Wakuganda, William Kassele</dc:creator>
  <cp:lastModifiedBy>Belinda P. Bisamaza</cp:lastModifiedBy>
  <dcterms:created xsi:type="dcterms:W3CDTF">2021-03-10T13:11:12Z</dcterms:created>
  <dcterms:modified xsi:type="dcterms:W3CDTF">2021-03-31T12:31:22Z</dcterms:modified>
</cp:coreProperties>
</file>